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TUNG SEKTOR\"/>
    </mc:Choice>
  </mc:AlternateContent>
  <xr:revisionPtr revIDLastSave="0" documentId="13_ncr:1_{39E7CC2F-F65F-4178-BB66-FCD225EC75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ØNNSOMHET, nye" sheetId="5" r:id="rId1"/>
    <sheet name="Lønnsomhet, regum" sheetId="11" r:id="rId2"/>
    <sheet name="Bonuser" sheetId="4" r:id="rId3"/>
    <sheet name="Rabatter" sheetId="9" r:id="rId4"/>
    <sheet name="Datablad nye" sheetId="2" r:id="rId5"/>
    <sheet name="Datablad regum" sheetId="10" r:id="rId6"/>
  </sheets>
  <definedNames>
    <definedName name="_xlnm.Print_Area" localSheetId="2">Bonuser!$A$1:$H$73</definedName>
    <definedName name="_xlnm.Print_Area" localSheetId="4">'Datablad nye'!$B$6:$E$22</definedName>
    <definedName name="_xlnm.Print_Area" localSheetId="0">'LØNNSOMHET, nye'!$A$1:$T$31</definedName>
    <definedName name="_xlnm.Print_Area" localSheetId="1">'Lønnsomhet, regum'!$A$1:$T$27</definedName>
    <definedName name="_xlnm.Print_Area" localSheetId="3">Rabatter!$A$1:$S$47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10" l="1"/>
  <c r="AA16" i="10"/>
  <c r="AA13" i="10"/>
  <c r="AA12" i="10"/>
  <c r="AA11" i="10"/>
  <c r="AA10" i="10"/>
  <c r="AA9" i="10"/>
  <c r="AA8" i="10"/>
  <c r="D56" i="9"/>
  <c r="AH24" i="2"/>
  <c r="Z24" i="2"/>
  <c r="V24" i="2"/>
  <c r="R24" i="2"/>
  <c r="N24" i="2"/>
  <c r="F24" i="2"/>
  <c r="N9" i="9" l="1"/>
  <c r="N20" i="9"/>
  <c r="S9" i="9"/>
  <c r="S19" i="10"/>
  <c r="C33" i="10" s="1"/>
  <c r="T17" i="10"/>
  <c r="T16" i="10"/>
  <c r="T13" i="10"/>
  <c r="T12" i="10"/>
  <c r="T11" i="10"/>
  <c r="T10" i="10"/>
  <c r="T9" i="10"/>
  <c r="T8" i="10"/>
  <c r="C47" i="2"/>
  <c r="AW14" i="5"/>
  <c r="AX14" i="5"/>
  <c r="O14" i="5" s="1"/>
  <c r="AY14" i="5"/>
  <c r="BA16" i="5"/>
  <c r="AY26" i="5"/>
  <c r="AY24" i="5"/>
  <c r="AY22" i="5"/>
  <c r="AY20" i="5"/>
  <c r="AY18" i="5"/>
  <c r="AY16" i="5"/>
  <c r="AY12" i="5"/>
  <c r="AX26" i="5"/>
  <c r="AX22" i="5"/>
  <c r="AX16" i="5"/>
  <c r="F22" i="2"/>
  <c r="F21" i="2"/>
  <c r="F18" i="2"/>
  <c r="F17" i="2"/>
  <c r="F16" i="2"/>
  <c r="F15" i="2"/>
  <c r="F14" i="2"/>
  <c r="F13" i="2"/>
  <c r="F10" i="2"/>
  <c r="F9" i="2"/>
  <c r="F8" i="2"/>
  <c r="I26" i="2"/>
  <c r="D47" i="2"/>
  <c r="AC24" i="2"/>
  <c r="N14" i="5"/>
  <c r="Z10" i="10"/>
  <c r="R10" i="2"/>
  <c r="R9" i="2"/>
  <c r="AD16" i="2"/>
  <c r="N12" i="5" l="1"/>
  <c r="N16" i="5"/>
  <c r="N18" i="5"/>
  <c r="N20" i="5"/>
  <c r="AV20" i="5" s="1"/>
  <c r="N22" i="5"/>
  <c r="N24" i="5"/>
  <c r="AW24" i="5" s="1"/>
  <c r="AX24" i="5" s="1"/>
  <c r="N26" i="5"/>
  <c r="I20" i="9"/>
  <c r="S34" i="9"/>
  <c r="AG17" i="10"/>
  <c r="AG16" i="10"/>
  <c r="AG13" i="10"/>
  <c r="AG12" i="10"/>
  <c r="AG11" i="10"/>
  <c r="AG10" i="10"/>
  <c r="AG9" i="10"/>
  <c r="AG8" i="10"/>
  <c r="J13" i="11"/>
  <c r="N21" i="11"/>
  <c r="AF19" i="10"/>
  <c r="F13" i="11"/>
  <c r="N19" i="11"/>
  <c r="AZ19" i="11" s="1"/>
  <c r="N13" i="11"/>
  <c r="N15" i="11"/>
  <c r="AX15" i="11" s="1"/>
  <c r="N17" i="11"/>
  <c r="S20" i="9"/>
  <c r="D20" i="9"/>
  <c r="AA19" i="10" l="1"/>
  <c r="C31" i="10" s="1"/>
  <c r="C26" i="10"/>
  <c r="D26" i="10" s="1"/>
  <c r="F21" i="11" s="1"/>
  <c r="AG19" i="10"/>
  <c r="C34" i="10" s="1"/>
  <c r="AH17" i="10"/>
  <c r="AH9" i="10"/>
  <c r="AU21" i="11"/>
  <c r="AH16" i="10"/>
  <c r="AH12" i="10"/>
  <c r="AH8" i="10"/>
  <c r="AZ15" i="11"/>
  <c r="Y19" i="10"/>
  <c r="K19" i="10"/>
  <c r="C24" i="10" s="1"/>
  <c r="AU15" i="11" s="1"/>
  <c r="AV15" i="11" s="1"/>
  <c r="D19" i="10"/>
  <c r="C22" i="10" s="1"/>
  <c r="AU13" i="11" s="1"/>
  <c r="Z17" i="10"/>
  <c r="AB17" i="10" s="1"/>
  <c r="Z16" i="10"/>
  <c r="AB16" i="10" s="1"/>
  <c r="Z13" i="10"/>
  <c r="AB13" i="10" s="1"/>
  <c r="Z12" i="10"/>
  <c r="AB12" i="10" s="1"/>
  <c r="Z11" i="10"/>
  <c r="AB11" i="10" s="1"/>
  <c r="AB10" i="10"/>
  <c r="Z9" i="10"/>
  <c r="AB9" i="10" s="1"/>
  <c r="Z8" i="10"/>
  <c r="U17" i="10"/>
  <c r="U16" i="10"/>
  <c r="U13" i="10"/>
  <c r="U12" i="10"/>
  <c r="U11" i="10"/>
  <c r="U10" i="10"/>
  <c r="U9" i="10"/>
  <c r="U8" i="10"/>
  <c r="L17" i="10"/>
  <c r="M17" i="10" s="1"/>
  <c r="N17" i="10" s="1"/>
  <c r="L16" i="10"/>
  <c r="M16" i="10" s="1"/>
  <c r="N16" i="10" s="1"/>
  <c r="L13" i="10"/>
  <c r="M13" i="10" s="1"/>
  <c r="N13" i="10" s="1"/>
  <c r="L12" i="10"/>
  <c r="M12" i="10" s="1"/>
  <c r="N12" i="10" s="1"/>
  <c r="L11" i="10"/>
  <c r="M11" i="10" s="1"/>
  <c r="N11" i="10" s="1"/>
  <c r="L10" i="10"/>
  <c r="M10" i="10" s="1"/>
  <c r="N10" i="10" s="1"/>
  <c r="L9" i="10"/>
  <c r="M9" i="10" s="1"/>
  <c r="N9" i="10" s="1"/>
  <c r="L8" i="10"/>
  <c r="E17" i="10"/>
  <c r="F17" i="10" s="1"/>
  <c r="G17" i="10" s="1"/>
  <c r="E16" i="10"/>
  <c r="F16" i="10" s="1"/>
  <c r="G16" i="10" s="1"/>
  <c r="E13" i="10"/>
  <c r="F13" i="10" s="1"/>
  <c r="G13" i="10" s="1"/>
  <c r="E12" i="10"/>
  <c r="F12" i="10" s="1"/>
  <c r="G12" i="10" s="1"/>
  <c r="E11" i="10"/>
  <c r="F11" i="10" s="1"/>
  <c r="G11" i="10" s="1"/>
  <c r="E10" i="10"/>
  <c r="F10" i="10" s="1"/>
  <c r="G10" i="10" s="1"/>
  <c r="F9" i="10"/>
  <c r="G9" i="10" s="1"/>
  <c r="E9" i="10"/>
  <c r="E8" i="10"/>
  <c r="F8" i="10" s="1"/>
  <c r="AB8" i="10" l="1"/>
  <c r="Z19" i="10"/>
  <c r="M8" i="10"/>
  <c r="L19" i="10"/>
  <c r="G8" i="10"/>
  <c r="F19" i="10"/>
  <c r="C30" i="10" s="1"/>
  <c r="C23" i="10"/>
  <c r="AU17" i="11" s="1"/>
  <c r="D24" i="10"/>
  <c r="F15" i="11" s="1"/>
  <c r="BF15" i="11" s="1"/>
  <c r="D31" i="10"/>
  <c r="D23" i="10"/>
  <c r="F17" i="11" s="1"/>
  <c r="AH10" i="10"/>
  <c r="AH13" i="10"/>
  <c r="AH11" i="10"/>
  <c r="D45" i="9"/>
  <c r="D44" i="9"/>
  <c r="D43" i="9"/>
  <c r="D42" i="9"/>
  <c r="D41" i="9"/>
  <c r="D40" i="9"/>
  <c r="D39" i="9"/>
  <c r="D38" i="9"/>
  <c r="D37" i="9"/>
  <c r="H13" i="11" s="1"/>
  <c r="D36" i="9"/>
  <c r="D35" i="9"/>
  <c r="D9" i="9"/>
  <c r="D34" i="10" l="1"/>
  <c r="D33" i="10"/>
  <c r="N8" i="10"/>
  <c r="M19" i="10"/>
  <c r="C32" i="10" s="1"/>
  <c r="D32" i="10" s="1"/>
  <c r="AX13" i="11"/>
  <c r="AZ13" i="11" s="1"/>
  <c r="AV13" i="11"/>
  <c r="BF13" i="11"/>
  <c r="AV17" i="11"/>
  <c r="BF17" i="11"/>
  <c r="BG17" i="11" s="1"/>
  <c r="AX17" i="11"/>
  <c r="AZ17" i="11" s="1"/>
  <c r="Q7" i="2"/>
  <c r="N34" i="9"/>
  <c r="I34" i="9"/>
  <c r="D34" i="9"/>
  <c r="B35" i="4"/>
  <c r="B36" i="4" s="1"/>
  <c r="B37" i="4" s="1"/>
  <c r="B38" i="4" s="1"/>
  <c r="B39" i="4" s="1"/>
  <c r="J24" i="5"/>
  <c r="F24" i="5"/>
  <c r="AW19" i="11" l="1"/>
  <c r="J19" i="11"/>
  <c r="AW17" i="11"/>
  <c r="J17" i="11" s="1"/>
  <c r="BB13" i="11"/>
  <c r="BA15" i="11"/>
  <c r="O15" i="11" s="1"/>
  <c r="BA17" i="11"/>
  <c r="O17" i="11" s="1"/>
  <c r="BG15" i="11"/>
  <c r="AW15" i="11"/>
  <c r="J15" i="11" s="1"/>
  <c r="I9" i="9"/>
  <c r="BB17" i="11" l="1"/>
  <c r="BB19" i="11"/>
  <c r="BB21" i="11"/>
  <c r="BB15" i="11"/>
  <c r="BC13" i="11"/>
  <c r="BF21" i="11"/>
  <c r="BG21" i="11" s="1"/>
  <c r="AX21" i="11"/>
  <c r="AZ21" i="11" s="1"/>
  <c r="BA21" i="11" s="1"/>
  <c r="O21" i="11" s="1"/>
  <c r="AV21" i="11"/>
  <c r="AW21" i="11" s="1"/>
  <c r="J21" i="11" s="1"/>
  <c r="AF24" i="2"/>
  <c r="C37" i="2" s="1"/>
  <c r="AU22" i="5" s="1"/>
  <c r="X24" i="2"/>
  <c r="C35" i="2" s="1"/>
  <c r="AG22" i="2"/>
  <c r="AG21" i="2"/>
  <c r="AG18" i="2"/>
  <c r="AG17" i="2"/>
  <c r="AG16" i="2"/>
  <c r="AG15" i="2"/>
  <c r="AG14" i="2"/>
  <c r="AG13" i="2"/>
  <c r="AG10" i="2"/>
  <c r="AG9" i="2"/>
  <c r="AG8" i="2"/>
  <c r="AG7" i="2"/>
  <c r="Y22" i="2"/>
  <c r="Z22" i="2" s="1"/>
  <c r="Y21" i="2"/>
  <c r="Y18" i="2"/>
  <c r="Y17" i="2"/>
  <c r="Y16" i="2"/>
  <c r="Y15" i="2"/>
  <c r="Y14" i="2"/>
  <c r="Y13" i="2"/>
  <c r="Y10" i="2"/>
  <c r="Y9" i="2"/>
  <c r="Y8" i="2"/>
  <c r="Y7" i="2"/>
  <c r="U22" i="2"/>
  <c r="U21" i="2"/>
  <c r="U18" i="2"/>
  <c r="U17" i="2"/>
  <c r="U16" i="2"/>
  <c r="U15" i="2"/>
  <c r="U14" i="2"/>
  <c r="U13" i="2"/>
  <c r="U10" i="2"/>
  <c r="U9" i="2"/>
  <c r="U8" i="2"/>
  <c r="U7" i="2"/>
  <c r="Q22" i="2"/>
  <c r="Q21" i="2"/>
  <c r="Q18" i="2"/>
  <c r="Q17" i="2"/>
  <c r="Q16" i="2"/>
  <c r="Q15" i="2"/>
  <c r="Q14" i="2"/>
  <c r="Q13" i="2"/>
  <c r="Q10" i="2"/>
  <c r="Q9" i="2"/>
  <c r="Q8" i="2"/>
  <c r="AU20" i="5" l="1"/>
  <c r="U24" i="2"/>
  <c r="R15" i="2"/>
  <c r="Z15" i="2"/>
  <c r="R22" i="2"/>
  <c r="Q24" i="2"/>
  <c r="Z14" i="2"/>
  <c r="V16" i="2"/>
  <c r="Z16" i="2"/>
  <c r="AD17" i="2"/>
  <c r="R16" i="2"/>
  <c r="AH17" i="2"/>
  <c r="Z18" i="2"/>
  <c r="AV22" i="5"/>
  <c r="AW22" i="5" s="1"/>
  <c r="I22" i="2"/>
  <c r="I21" i="2"/>
  <c r="I18" i="2"/>
  <c r="I17" i="2"/>
  <c r="I16" i="2"/>
  <c r="I15" i="2"/>
  <c r="I14" i="2"/>
  <c r="I13" i="2"/>
  <c r="I10" i="2"/>
  <c r="I9" i="2"/>
  <c r="I8" i="2"/>
  <c r="I7" i="2"/>
  <c r="F7" i="2" s="1"/>
  <c r="R18" i="2"/>
  <c r="AH16" i="2"/>
  <c r="R14" i="2"/>
  <c r="Z10" i="2"/>
  <c r="P24" i="2"/>
  <c r="C33" i="2" s="1"/>
  <c r="AW20" i="5" l="1"/>
  <c r="AX20" i="5" s="1"/>
  <c r="AH10" i="2"/>
  <c r="Z9" i="2"/>
  <c r="AD18" i="2"/>
  <c r="V10" i="2"/>
  <c r="AD15" i="2"/>
  <c r="V8" i="2"/>
  <c r="R17" i="2"/>
  <c r="AH15" i="2"/>
  <c r="AH13" i="2"/>
  <c r="R13" i="2"/>
  <c r="AU16" i="5"/>
  <c r="E24" i="2"/>
  <c r="C42" i="2" s="1"/>
  <c r="V18" i="2"/>
  <c r="R8" i="2"/>
  <c r="V14" i="2"/>
  <c r="I24" i="2"/>
  <c r="C41" i="2" s="1"/>
  <c r="AD21" i="2"/>
  <c r="AH22" i="2"/>
  <c r="Z8" i="2"/>
  <c r="AD22" i="2"/>
  <c r="V22" i="2"/>
  <c r="R21" i="2"/>
  <c r="V9" i="2"/>
  <c r="Z21" i="2"/>
  <c r="AH14" i="2"/>
  <c r="R7" i="2"/>
  <c r="AH18" i="2"/>
  <c r="V7" i="2"/>
  <c r="AH9" i="2"/>
  <c r="AH8" i="2"/>
  <c r="V15" i="2"/>
  <c r="Z17" i="2"/>
  <c r="AD13" i="2"/>
  <c r="C44" i="2"/>
  <c r="AD14" i="2"/>
  <c r="V21" i="2"/>
  <c r="Z7" i="2"/>
  <c r="V17" i="2"/>
  <c r="AH21" i="2"/>
  <c r="C45" i="2"/>
  <c r="Z13" i="2"/>
  <c r="AH7" i="2"/>
  <c r="V13" i="2"/>
  <c r="AG24" i="2"/>
  <c r="D44" i="2" l="1"/>
  <c r="J16" i="5" s="1"/>
  <c r="D45" i="2"/>
  <c r="J26" i="5" s="1"/>
  <c r="C48" i="2"/>
  <c r="D48" i="2" s="1"/>
  <c r="J22" i="5" s="1"/>
  <c r="D42" i="2"/>
  <c r="J14" i="5" s="1"/>
  <c r="M22" i="2"/>
  <c r="M21" i="2"/>
  <c r="M18" i="2"/>
  <c r="N18" i="2" s="1"/>
  <c r="M17" i="2"/>
  <c r="M16" i="2"/>
  <c r="N16" i="2" s="1"/>
  <c r="M15" i="2"/>
  <c r="M14" i="2"/>
  <c r="N14" i="2" s="1"/>
  <c r="M13" i="2"/>
  <c r="M10" i="2"/>
  <c r="N10" i="2" s="1"/>
  <c r="M9" i="2"/>
  <c r="N9" i="2" s="1"/>
  <c r="M8" i="2"/>
  <c r="N8" i="2" s="1"/>
  <c r="L24" i="2"/>
  <c r="C32" i="2" s="1"/>
  <c r="Y24" i="2"/>
  <c r="C46" i="2" l="1"/>
  <c r="D46" i="2" s="1"/>
  <c r="J20" i="5" s="1"/>
  <c r="AU18" i="5"/>
  <c r="N13" i="2"/>
  <c r="N15" i="2"/>
  <c r="N17" i="2"/>
  <c r="N21" i="2"/>
  <c r="N22" i="2"/>
  <c r="O24" i="5" l="1"/>
  <c r="O22" i="5" l="1"/>
  <c r="O20" i="5"/>
  <c r="M7" i="2"/>
  <c r="AZ14" i="5" l="1"/>
  <c r="AZ24" i="5"/>
  <c r="BA24" i="5" s="1"/>
  <c r="AZ22" i="5"/>
  <c r="BA22" i="5" s="1"/>
  <c r="AZ20" i="5"/>
  <c r="BA20" i="5" s="1"/>
  <c r="N7" i="2"/>
  <c r="AV12" i="5"/>
  <c r="H24" i="2"/>
  <c r="C31" i="2" s="1"/>
  <c r="AV16" i="5"/>
  <c r="AW16" i="5" s="1"/>
  <c r="M24" i="2"/>
  <c r="T24" i="2"/>
  <c r="C34" i="2" s="1"/>
  <c r="AV26" i="5"/>
  <c r="BA14" i="5" l="1"/>
  <c r="R14" i="5" s="1"/>
  <c r="D35" i="2"/>
  <c r="F20" i="5" s="1"/>
  <c r="D37" i="2"/>
  <c r="F22" i="5" s="1"/>
  <c r="D34" i="2"/>
  <c r="D33" i="2"/>
  <c r="F16" i="5" s="1"/>
  <c r="D32" i="2"/>
  <c r="F18" i="5" s="1"/>
  <c r="R24" i="5"/>
  <c r="R20" i="5"/>
  <c r="R22" i="5"/>
  <c r="C43" i="2"/>
  <c r="D43" i="2" s="1"/>
  <c r="J18" i="5" s="1"/>
  <c r="AU26" i="5"/>
  <c r="AW26" i="5" s="1"/>
  <c r="F26" i="5"/>
  <c r="AU12" i="5"/>
  <c r="AW12" i="5" s="1"/>
  <c r="F12" i="5"/>
  <c r="O16" i="5"/>
  <c r="AZ16" i="5"/>
  <c r="R16" i="5" s="1"/>
  <c r="AV18" i="5"/>
  <c r="AW18" i="5" s="1"/>
  <c r="AX18" i="5" s="1"/>
  <c r="AZ26" i="5" l="1"/>
  <c r="O26" i="5"/>
  <c r="O18" i="5"/>
  <c r="AZ18" i="5"/>
  <c r="BA18" i="5" l="1"/>
  <c r="R18" i="5" s="1"/>
  <c r="BA26" i="5"/>
  <c r="R26" i="5" s="1"/>
  <c r="BC17" i="11"/>
  <c r="BD17" i="11" s="1"/>
  <c r="R17" i="11" s="1"/>
  <c r="BC15" i="11"/>
  <c r="BD15" i="11" s="1"/>
  <c r="R15" i="11" s="1"/>
  <c r="BC21" i="11"/>
  <c r="BD21" i="11" s="1"/>
  <c r="R21" i="11" s="1"/>
  <c r="AZ12" i="5" l="1"/>
  <c r="BC19" i="11" l="1"/>
  <c r="BD19" i="11" s="1"/>
  <c r="R19" i="11" s="1"/>
  <c r="BA19" i="11"/>
  <c r="O19" i="11" s="1"/>
</calcChain>
</file>

<file path=xl/sharedStrings.xml><?xml version="1.0" encoding="utf-8"?>
<sst xmlns="http://schemas.openxmlformats.org/spreadsheetml/2006/main" count="673" uniqueCount="310">
  <si>
    <t>Bridgestone</t>
  </si>
  <si>
    <t>Goodyear</t>
  </si>
  <si>
    <t>Nokian</t>
  </si>
  <si>
    <t>385/55R22,5</t>
  </si>
  <si>
    <t>385/65R22,5</t>
  </si>
  <si>
    <t>315/80R22,5</t>
  </si>
  <si>
    <t>295/80R22,5</t>
  </si>
  <si>
    <t>275/70R22,5</t>
  </si>
  <si>
    <t>265/70R19.5</t>
  </si>
  <si>
    <t>Dimensjon</t>
  </si>
  <si>
    <t>STYREHJUL</t>
  </si>
  <si>
    <t>DRIVHJUL</t>
  </si>
  <si>
    <t>HENGERHJUL</t>
  </si>
  <si>
    <t>Continental</t>
  </si>
  <si>
    <t>Listepris</t>
  </si>
  <si>
    <t>Nettopris</t>
  </si>
  <si>
    <t>Netto index</t>
  </si>
  <si>
    <t>Mønster</t>
  </si>
  <si>
    <t>Volum</t>
  </si>
  <si>
    <t>Netto kjøp over 500'</t>
  </si>
  <si>
    <t>Netto kjøp over 5 mill</t>
  </si>
  <si>
    <t>MAX BONUS</t>
  </si>
  <si>
    <t>EGEN bonus</t>
  </si>
  <si>
    <t>Kjedebonus</t>
  </si>
  <si>
    <t>DIN bonus</t>
  </si>
  <si>
    <t>NetNet</t>
  </si>
  <si>
    <t>SELL-OUT</t>
  </si>
  <si>
    <t>Forhandler</t>
  </si>
  <si>
    <t>NIVÅ</t>
  </si>
  <si>
    <t>per merke</t>
  </si>
  <si>
    <t>Kjedevolumbonus LIK årets volum</t>
  </si>
  <si>
    <t>Conti</t>
  </si>
  <si>
    <t>Netnet</t>
  </si>
  <si>
    <t>NOK 1.000.000 kjøp fra hver lev.</t>
  </si>
  <si>
    <t>Nokian Hakka Truck Steer</t>
  </si>
  <si>
    <t>KWA03</t>
  </si>
  <si>
    <t>KWD01</t>
  </si>
  <si>
    <t>KRD02</t>
  </si>
  <si>
    <t>Kumho</t>
  </si>
  <si>
    <t xml:space="preserve">                 Goodyear</t>
  </si>
  <si>
    <t xml:space="preserve">                               Continental</t>
  </si>
  <si>
    <t xml:space="preserve">                NOKIAN</t>
  </si>
  <si>
    <t xml:space="preserve">      Kumho</t>
  </si>
  <si>
    <t xml:space="preserve">                     BRIDGESTONE</t>
  </si>
  <si>
    <t xml:space="preserve">                MICHELIN</t>
  </si>
  <si>
    <t>Michelin</t>
  </si>
  <si>
    <t>UG MAX S</t>
  </si>
  <si>
    <t>UG MAX D</t>
  </si>
  <si>
    <t>UG MAX T</t>
  </si>
  <si>
    <t>KXD10</t>
  </si>
  <si>
    <t>X Multi D</t>
  </si>
  <si>
    <t>Netto kjøp over 250'</t>
  </si>
  <si>
    <t>Netto kjøp over 50'</t>
  </si>
  <si>
    <t>Netto kjøp over 200'</t>
  </si>
  <si>
    <t>Fakturanetto</t>
  </si>
  <si>
    <t>Rabatt:</t>
  </si>
  <si>
    <t>Listepris nivå</t>
  </si>
  <si>
    <t>Doublecoin</t>
  </si>
  <si>
    <t>Yokohama</t>
  </si>
  <si>
    <t>LISTE</t>
  </si>
  <si>
    <t>Fakturanetto, 12 dimensjoner</t>
  </si>
  <si>
    <t>Fakturanetto nivå</t>
  </si>
  <si>
    <t>rabatt:</t>
  </si>
  <si>
    <t xml:space="preserve">                YOKOHAMA</t>
  </si>
  <si>
    <t>LISTEPRIS</t>
  </si>
  <si>
    <t>RD 2</t>
  </si>
  <si>
    <t>RWD 1</t>
  </si>
  <si>
    <t>UG WTD</t>
  </si>
  <si>
    <t>Scandinavia HS 3</t>
  </si>
  <si>
    <t>Scandinavia HD 3</t>
  </si>
  <si>
    <t>Scandinavia Extreme HD 3</t>
  </si>
  <si>
    <t>Scandinavia HT 3</t>
  </si>
  <si>
    <t>Nokian Hakka E-Truck Drive</t>
  </si>
  <si>
    <t>Nokian Hakka Truck F2</t>
  </si>
  <si>
    <t>KMA01</t>
  </si>
  <si>
    <t>X Multi Grip Z</t>
  </si>
  <si>
    <t>X Multi Grip D</t>
  </si>
  <si>
    <t>XDV Ice Grip</t>
  </si>
  <si>
    <t>X Multi HD D</t>
  </si>
  <si>
    <t>N/A</t>
  </si>
  <si>
    <t>RLB 450</t>
  </si>
  <si>
    <t>RLB 451</t>
  </si>
  <si>
    <t>RSD 1</t>
  </si>
  <si>
    <t>RT 910</t>
  </si>
  <si>
    <t>RLB 490</t>
  </si>
  <si>
    <t>-</t>
  </si>
  <si>
    <t>901 ZS</t>
  </si>
  <si>
    <t>902 W</t>
  </si>
  <si>
    <t>SY 397</t>
  </si>
  <si>
    <t>Listepris, 12 dimensjoner</t>
  </si>
  <si>
    <t xml:space="preserve">            Continental</t>
  </si>
  <si>
    <t xml:space="preserve">                    Goodyear</t>
  </si>
  <si>
    <t xml:space="preserve">                   Nokian</t>
  </si>
  <si>
    <t xml:space="preserve">          Bridgestone</t>
  </si>
  <si>
    <t>Rabatt</t>
  </si>
  <si>
    <t>Tillegg</t>
  </si>
  <si>
    <t>TOTAL</t>
  </si>
  <si>
    <t>Yokohama (Starco)</t>
  </si>
  <si>
    <t>DOUBLECOIN (NDI)</t>
  </si>
  <si>
    <t>Fast rabatt</t>
  </si>
  <si>
    <t>KUMHO (Starco)</t>
  </si>
  <si>
    <t>Continental, supplering</t>
  </si>
  <si>
    <t>Goodyear, supplering:</t>
  </si>
  <si>
    <t>Nokian, supplering:</t>
  </si>
  <si>
    <t xml:space="preserve">Bridgestone, supplering: </t>
  </si>
  <si>
    <t>Starco, supplering:</t>
  </si>
  <si>
    <t>Michelin, supplering:</t>
  </si>
  <si>
    <t>Doublecoin, supplering:</t>
  </si>
  <si>
    <t xml:space="preserve">Kumho, supplering: </t>
  </si>
  <si>
    <t>Netto kjøp over 50.000</t>
  </si>
  <si>
    <t>Netto kjøp NOK 500.000</t>
  </si>
  <si>
    <t>Netto kjøp NOK 750.000</t>
  </si>
  <si>
    <t>Netto kjøp over 750'</t>
  </si>
  <si>
    <t>Netto kjøp over 1 mill</t>
  </si>
  <si>
    <t>Netto kjøp NOK 1 mill</t>
  </si>
  <si>
    <t>Netto kjøp over 2 mill</t>
  </si>
  <si>
    <t>Netto kjøp over 3 mill</t>
  </si>
  <si>
    <t>KJEDEVOLUMBONUS</t>
  </si>
  <si>
    <t>5.000 dekk på kjeden</t>
  </si>
  <si>
    <t>60.000 dekk på kjeden</t>
  </si>
  <si>
    <t>65.000 dekk på kjeden</t>
  </si>
  <si>
    <t>70.000 dekk på kjeden</t>
  </si>
  <si>
    <t>75.000 dekk på kjeden</t>
  </si>
  <si>
    <t>80.000 dekk på kjeden</t>
  </si>
  <si>
    <t>85.000 dekk på kjeden</t>
  </si>
  <si>
    <t>MAX BONUS*</t>
  </si>
  <si>
    <t>* ALT varekjøp bygger bonus</t>
  </si>
  <si>
    <t>Netto kjøp over 75'</t>
  </si>
  <si>
    <t>Netto kjøp over 1,5 mill</t>
  </si>
  <si>
    <t>* ALT varekjøp utenom landbruk bygger bonus</t>
  </si>
  <si>
    <t>Netto kjøp 0-250'</t>
  </si>
  <si>
    <t>Netto kjøp over 700'</t>
  </si>
  <si>
    <t>Varekjøp NOK 60 mill på kjeden</t>
  </si>
  <si>
    <t>Yokohama og Kumho, Starco</t>
  </si>
  <si>
    <t>Goodyear, bare last</t>
  </si>
  <si>
    <t>Nokian, totalkjøp</t>
  </si>
  <si>
    <t>Netto kjøp under 300'</t>
  </si>
  <si>
    <t>1.250 dekk på kjeden</t>
  </si>
  <si>
    <t>2.000 dekk på kjeden</t>
  </si>
  <si>
    <t>3.000 dekk på kjeden</t>
  </si>
  <si>
    <t>4.000 dekk på kjeden</t>
  </si>
  <si>
    <t>5.000 lastebildekk på kjeden</t>
  </si>
  <si>
    <t>6.000 lastebildekk på kjeden</t>
  </si>
  <si>
    <t>7.000 lastebildekk på kjeden</t>
  </si>
  <si>
    <t>8.000 lastebildekk på kjeden</t>
  </si>
  <si>
    <t>8.500 lastebildekk på kjeden</t>
  </si>
  <si>
    <t>9.000 lastebildekk på kjeden</t>
  </si>
  <si>
    <t>4.500 dekk på kjeden</t>
  </si>
  <si>
    <t>Totalkjøp varemerke Continental</t>
  </si>
  <si>
    <t>KJEDEVOLUMBONUS (last og person totalkjøp)</t>
  </si>
  <si>
    <t>Bridgestone, alle varegrupper ex OTR</t>
  </si>
  <si>
    <t>Beregnet på de 7 dimensjonene som er tatt med</t>
  </si>
  <si>
    <t xml:space="preserve">                Sammenligning av listepriser, fakturanetto og netnet</t>
  </si>
  <si>
    <t>Dekningsbidrag</t>
  </si>
  <si>
    <t>Listepris 12 dekk</t>
  </si>
  <si>
    <t>Total rabatt og bonus</t>
  </si>
  <si>
    <t>Rabattsats</t>
  </si>
  <si>
    <t>Netnet nivå</t>
  </si>
  <si>
    <t>30% DB</t>
  </si>
  <si>
    <t>Utpris, BS base</t>
  </si>
  <si>
    <t>DB</t>
  </si>
  <si>
    <t>DB nivå</t>
  </si>
  <si>
    <t>Michelin, alt varekjøp ex landbruk</t>
  </si>
  <si>
    <t>Doublecoin, NDI- alt varekjøp</t>
  </si>
  <si>
    <t>295/80R22,5 helår</t>
  </si>
  <si>
    <t>295/80R22,5 VINTER</t>
  </si>
  <si>
    <t>315/70R22,5 VINTER</t>
  </si>
  <si>
    <t>315/70R22,5 helår</t>
  </si>
  <si>
    <t xml:space="preserve">                    Scandekk</t>
  </si>
  <si>
    <t>Scandekk, supplering:</t>
  </si>
  <si>
    <t xml:space="preserve">                    Gummiservice</t>
  </si>
  <si>
    <t>Gummiservice, supplering:</t>
  </si>
  <si>
    <t xml:space="preserve">    BANDAG, Gjerde &amp; Byhring</t>
  </si>
  <si>
    <t>Bandag, supplering:</t>
  </si>
  <si>
    <t>W958</t>
  </si>
  <si>
    <t>RWS1</t>
  </si>
  <si>
    <t>Scandinavia HDW 2</t>
  </si>
  <si>
    <t>Nokian Hakka Truck Drive</t>
  </si>
  <si>
    <t>Nokian Hakka Truck Trailer</t>
  </si>
  <si>
    <t xml:space="preserve">XTE 2 </t>
  </si>
  <si>
    <t>505C</t>
  </si>
  <si>
    <t>508T</t>
  </si>
  <si>
    <t>NETTOPRISER</t>
  </si>
  <si>
    <t>På netto</t>
  </si>
  <si>
    <t>Preordre over 32 dekk</t>
  </si>
  <si>
    <t>Preordre over 100 dekk</t>
  </si>
  <si>
    <t>Preordre over 200 dekk</t>
  </si>
  <si>
    <t>Preordre over 300 dekk</t>
  </si>
  <si>
    <t>Preordre over 400 dekk</t>
  </si>
  <si>
    <t>Preordre over 500 dekk</t>
  </si>
  <si>
    <t>Preordre over 600 dekk</t>
  </si>
  <si>
    <t>Preordre over 700 dekk</t>
  </si>
  <si>
    <t>Preordre over 800 dekk</t>
  </si>
  <si>
    <t>Preordre over 900 dekk</t>
  </si>
  <si>
    <t>Preordre over 1.000 dekk</t>
  </si>
  <si>
    <t>Ekstrarabatt ved min. 24 dekk</t>
  </si>
  <si>
    <t>NOK 250 per dekk</t>
  </si>
  <si>
    <t>Ekstrarabatt ved min. 100 dekk</t>
  </si>
  <si>
    <t>NOK 350 per dekk</t>
  </si>
  <si>
    <t>1-19 dekk: 40%  fra 20 dekk og opp: 42%</t>
  </si>
  <si>
    <t xml:space="preserve">            Remix, Michelin</t>
  </si>
  <si>
    <t>Scandekk</t>
  </si>
  <si>
    <t>Gummiservice</t>
  </si>
  <si>
    <t>REMIX Michelin</t>
  </si>
  <si>
    <t>Bandag</t>
  </si>
  <si>
    <t xml:space="preserve">                     SCANDEKK</t>
  </si>
  <si>
    <t>Fakturapris</t>
  </si>
  <si>
    <t>200 dekk: Preorder ekstra</t>
  </si>
  <si>
    <t>KHM 2</t>
  </si>
  <si>
    <t>295/80R22,5 vinter</t>
  </si>
  <si>
    <t>315/80R22,5 vinter</t>
  </si>
  <si>
    <t>275/70R22,5 vinter</t>
  </si>
  <si>
    <t>KHM2</t>
  </si>
  <si>
    <t>315/70R22,5 vinter</t>
  </si>
  <si>
    <t>WSS</t>
  </si>
  <si>
    <t>KXTY</t>
  </si>
  <si>
    <t xml:space="preserve">                     GUMMISERVICE</t>
  </si>
  <si>
    <t>NOK 350 ekstra rabatt</t>
  </si>
  <si>
    <t>PDR-W</t>
  </si>
  <si>
    <t>ICE 202</t>
  </si>
  <si>
    <t>PTW</t>
  </si>
  <si>
    <t xml:space="preserve">                     BANDAG</t>
  </si>
  <si>
    <t>BG M729</t>
  </si>
  <si>
    <t>BG W990</t>
  </si>
  <si>
    <t xml:space="preserve">                     REMIX</t>
  </si>
  <si>
    <t>X Multiway 3D</t>
  </si>
  <si>
    <t>XDW Ice Grip</t>
  </si>
  <si>
    <t>X Multigrip D</t>
  </si>
  <si>
    <t>XDE 2+</t>
  </si>
  <si>
    <t>X Multi T</t>
  </si>
  <si>
    <t>Listeprisnivåer</t>
  </si>
  <si>
    <t>Beløp</t>
  </si>
  <si>
    <t>Nivå</t>
  </si>
  <si>
    <t>Container</t>
  </si>
  <si>
    <t>Tilsvarer 49% på lista</t>
  </si>
  <si>
    <t>Innpris</t>
  </si>
  <si>
    <t>Netto kjøp 250' - 500'</t>
  </si>
  <si>
    <t>Netto kjøp 500' - 750'</t>
  </si>
  <si>
    <t>Netto kjøp 750' - 1 mill</t>
  </si>
  <si>
    <t>Netto kjøp 1 mill - 1,5 mill</t>
  </si>
  <si>
    <t>Totalt over 2500 regummierte</t>
  </si>
  <si>
    <t>Totalt over 3000 regummierte</t>
  </si>
  <si>
    <t>Totalt over 3500 regummierte</t>
  </si>
  <si>
    <t>Scandekk, referanse 100</t>
  </si>
  <si>
    <t>Michelin Remix</t>
  </si>
  <si>
    <t xml:space="preserve"> Goodyear Treadmax</t>
  </si>
  <si>
    <t>TM KMAX D</t>
  </si>
  <si>
    <t>Goodyear Treadmax</t>
  </si>
  <si>
    <t>netto nivå</t>
  </si>
  <si>
    <t>TM UGMAX D</t>
  </si>
  <si>
    <t>TM UGMAX T</t>
  </si>
  <si>
    <t>NTWTD City</t>
  </si>
  <si>
    <t>TM KMAX DG2</t>
  </si>
  <si>
    <t>TM KMAX T</t>
  </si>
  <si>
    <t>200 dekk</t>
  </si>
  <si>
    <t>Remix, supplering:</t>
  </si>
  <si>
    <t xml:space="preserve"> </t>
  </si>
  <si>
    <t>BONUSTABELLER 2024, last og buss</t>
  </si>
  <si>
    <t>RABATTSATSER last, Containerkjøp Vinter 2024</t>
  </si>
  <si>
    <t xml:space="preserve">                NYE LASTEBIL- og BUSSDEKK, 2024</t>
  </si>
  <si>
    <t xml:space="preserve">                REGUMMIERTE LASTEBIL- og BUSSDEKK, 2024</t>
  </si>
  <si>
    <t>Netto kjøp NOK 0-50.000</t>
  </si>
  <si>
    <t>Netto kjøp NOK 50.000</t>
  </si>
  <si>
    <t>Netto kjøp NOK 100.000</t>
  </si>
  <si>
    <t>Netto kjøp NOK 250.000</t>
  </si>
  <si>
    <t>Netto kjøp NOK 1,5 mill</t>
  </si>
  <si>
    <t>Netto kjøp NOK 2 mill</t>
  </si>
  <si>
    <t>Netto kjøp fra 300' til 700'</t>
  </si>
  <si>
    <t>55.000 dekk på kjeden</t>
  </si>
  <si>
    <t>KJEDEVOLUMBONUS, last</t>
  </si>
  <si>
    <t>* Kommer bonusoverskudd i tillegg- var 0,8% i 2023</t>
  </si>
  <si>
    <t>* Kommer bonusoverskudd i tillegg- var 1% i 2023</t>
  </si>
  <si>
    <t>Netto kjøp 0-500'</t>
  </si>
  <si>
    <t>Netto kjøp 500' - 700'</t>
  </si>
  <si>
    <t>Netto kjøp 700' - 800'</t>
  </si>
  <si>
    <t>Netto kjøp 800' - 900'</t>
  </si>
  <si>
    <t>Netto kjøp 900' - 1.100'</t>
  </si>
  <si>
    <t>Netto kjøp 1.100' - 1.400'</t>
  </si>
  <si>
    <t>Netto kjøp 1.400' - 1.600'</t>
  </si>
  <si>
    <t>Netto kjøp over 1.600'</t>
  </si>
  <si>
    <t xml:space="preserve">MAX BONUS </t>
  </si>
  <si>
    <t>* Kommer bonusoverskudd i tillegg- var 1,3% i 2023</t>
  </si>
  <si>
    <t>* Kommer bonusoverskudd i tillegg- var 0,4% i 2023</t>
  </si>
  <si>
    <t>* NYHET i 2024: GARANTIBONUS som gir BONUSOVERSKUDD</t>
  </si>
  <si>
    <t>10,5%*</t>
  </si>
  <si>
    <t>REGUMMIERT, Containerkjøp, Vinter 2024</t>
  </si>
  <si>
    <t>KXS10</t>
  </si>
  <si>
    <t>KWD 01</t>
  </si>
  <si>
    <t>ECOHS2</t>
  </si>
  <si>
    <t>ECOHD2</t>
  </si>
  <si>
    <t>Duravis RD2</t>
  </si>
  <si>
    <t>Bonus v/ 1 mill i 2024</t>
  </si>
  <si>
    <t>NETTOPRIS</t>
  </si>
  <si>
    <t>PRO DM3</t>
  </si>
  <si>
    <t>BDR WXT</t>
  </si>
  <si>
    <t>BG BDR</t>
  </si>
  <si>
    <t>PRO TM-3</t>
  </si>
  <si>
    <t>XTE 2</t>
  </si>
  <si>
    <t>M852</t>
  </si>
  <si>
    <t>UTEN styrehjul</t>
  </si>
  <si>
    <t>Utpris, GY base</t>
  </si>
  <si>
    <t>BG M852</t>
  </si>
  <si>
    <t>Fakturaprisnivåer preordre</t>
  </si>
  <si>
    <t>IKKE styrehjul</t>
  </si>
  <si>
    <t>PÅ INNSALG</t>
  </si>
  <si>
    <t>NB: De 2% ekstra gjelder KUN på ordre som settes fra 1. mai til 31. august</t>
  </si>
  <si>
    <t>1mai til 31 aug</t>
  </si>
  <si>
    <t>Gjelder kun fra</t>
  </si>
  <si>
    <t xml:space="preserve">            Goodyear Treadmax</t>
  </si>
  <si>
    <t>KUN 1 mai - 31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</si>
</sst>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0.0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7" fillId="0" borderId="0"/>
  </cellStyleXfs>
  <cellXfs count="27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1" xfId="0" applyBorder="1"/>
    <xf numFmtId="0" fontId="3" fillId="2" borderId="4" xfId="0" applyFont="1" applyFill="1" applyBorder="1"/>
    <xf numFmtId="0" fontId="0" fillId="0" borderId="4" xfId="0" applyBorder="1"/>
    <xf numFmtId="0" fontId="3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/>
    <xf numFmtId="0" fontId="4" fillId="6" borderId="2" xfId="0" applyFont="1" applyFill="1" applyBorder="1"/>
    <xf numFmtId="0" fontId="4" fillId="6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4" fillId="4" borderId="3" xfId="0" applyFont="1" applyFill="1" applyBorder="1"/>
    <xf numFmtId="0" fontId="10" fillId="0" borderId="0" xfId="1"/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6" borderId="1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5" fontId="4" fillId="8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7" borderId="1" xfId="0" applyFont="1" applyFill="1" applyBorder="1"/>
    <xf numFmtId="0" fontId="7" fillId="3" borderId="1" xfId="0" applyFont="1" applyFill="1" applyBorder="1"/>
    <xf numFmtId="0" fontId="8" fillId="5" borderId="1" xfId="0" applyFont="1" applyFill="1" applyBorder="1"/>
    <xf numFmtId="0" fontId="4" fillId="4" borderId="1" xfId="0" applyFont="1" applyFill="1" applyBorder="1"/>
    <xf numFmtId="9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8" borderId="1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applyNumberFormat="1"/>
    <xf numFmtId="166" fontId="0" fillId="0" borderId="9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/>
    <xf numFmtId="0" fontId="7" fillId="9" borderId="13" xfId="0" applyFont="1" applyFill="1" applyBorder="1"/>
    <xf numFmtId="0" fontId="2" fillId="9" borderId="14" xfId="0" applyFont="1" applyFill="1" applyBorder="1"/>
    <xf numFmtId="0" fontId="0" fillId="9" borderId="14" xfId="0" applyFill="1" applyBorder="1"/>
    <xf numFmtId="0" fontId="0" fillId="9" borderId="15" xfId="0" applyFill="1" applyBorder="1"/>
    <xf numFmtId="0" fontId="7" fillId="9" borderId="16" xfId="0" applyFont="1" applyFill="1" applyBorder="1"/>
    <xf numFmtId="0" fontId="0" fillId="9" borderId="17" xfId="0" applyFill="1" applyBorder="1"/>
    <xf numFmtId="0" fontId="2" fillId="9" borderId="17" xfId="0" applyFont="1" applyFill="1" applyBorder="1"/>
    <xf numFmtId="0" fontId="0" fillId="9" borderId="18" xfId="0" applyFill="1" applyBorder="1"/>
    <xf numFmtId="0" fontId="0" fillId="4" borderId="0" xfId="0" applyFill="1"/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3" fillId="0" borderId="0" xfId="0" applyFont="1"/>
    <xf numFmtId="3" fontId="0" fillId="0" borderId="23" xfId="0" applyNumberFormat="1" applyBorder="1" applyAlignment="1">
      <alignment horizontal="center"/>
    </xf>
    <xf numFmtId="3" fontId="11" fillId="0" borderId="1" xfId="0" applyNumberFormat="1" applyFont="1" applyBorder="1"/>
    <xf numFmtId="0" fontId="0" fillId="0" borderId="24" xfId="0" applyBorder="1"/>
    <xf numFmtId="0" fontId="0" fillId="0" borderId="25" xfId="0" applyBorder="1"/>
    <xf numFmtId="9" fontId="0" fillId="0" borderId="9" xfId="0" applyNumberFormat="1" applyBorder="1" applyAlignment="1">
      <alignment horizontal="center"/>
    </xf>
    <xf numFmtId="0" fontId="0" fillId="8" borderId="25" xfId="0" applyFill="1" applyBorder="1"/>
    <xf numFmtId="0" fontId="7" fillId="3" borderId="13" xfId="0" applyFont="1" applyFill="1" applyBorder="1"/>
    <xf numFmtId="0" fontId="7" fillId="3" borderId="15" xfId="0" applyFont="1" applyFill="1" applyBorder="1"/>
    <xf numFmtId="10" fontId="0" fillId="0" borderId="9" xfId="0" applyNumberFormat="1" applyBorder="1" applyAlignment="1">
      <alignment horizontal="center"/>
    </xf>
    <xf numFmtId="0" fontId="8" fillId="5" borderId="13" xfId="0" applyFont="1" applyFill="1" applyBorder="1"/>
    <xf numFmtId="0" fontId="8" fillId="5" borderId="15" xfId="0" applyFont="1" applyFill="1" applyBorder="1"/>
    <xf numFmtId="0" fontId="7" fillId="4" borderId="2" xfId="0" applyFont="1" applyFill="1" applyBorder="1"/>
    <xf numFmtId="0" fontId="3" fillId="0" borderId="26" xfId="0" applyFont="1" applyBorder="1"/>
    <xf numFmtId="10" fontId="3" fillId="0" borderId="27" xfId="0" applyNumberFormat="1" applyFont="1" applyBorder="1" applyAlignment="1">
      <alignment horizontal="center"/>
    </xf>
    <xf numFmtId="0" fontId="0" fillId="0" borderId="22" xfId="0" applyBorder="1"/>
    <xf numFmtId="9" fontId="0" fillId="0" borderId="2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6" borderId="0" xfId="0" applyFill="1"/>
    <xf numFmtId="0" fontId="0" fillId="10" borderId="0" xfId="0" applyFill="1"/>
    <xf numFmtId="0" fontId="0" fillId="6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2" fillId="5" borderId="0" xfId="0" applyFont="1" applyFill="1"/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3" fillId="9" borderId="0" xfId="0" applyFont="1" applyFill="1"/>
    <xf numFmtId="0" fontId="14" fillId="6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4" fillId="10" borderId="0" xfId="0" applyFont="1" applyFill="1"/>
    <xf numFmtId="0" fontId="3" fillId="2" borderId="5" xfId="0" quotePrefix="1" applyFont="1" applyFill="1" applyBorder="1"/>
    <xf numFmtId="10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10" fontId="0" fillId="0" borderId="0" xfId="0" applyNumberFormat="1"/>
    <xf numFmtId="3" fontId="0" fillId="0" borderId="22" xfId="0" applyNumberFormat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10" fontId="0" fillId="0" borderId="22" xfId="0" applyNumberFormat="1" applyBorder="1" applyAlignment="1">
      <alignment horizontal="center"/>
    </xf>
    <xf numFmtId="0" fontId="7" fillId="12" borderId="1" xfId="0" applyFont="1" applyFill="1" applyBorder="1"/>
    <xf numFmtId="0" fontId="0" fillId="0" borderId="13" xfId="0" applyBorder="1"/>
    <xf numFmtId="0" fontId="0" fillId="0" borderId="15" xfId="0" applyBorder="1"/>
    <xf numFmtId="0" fontId="0" fillId="0" borderId="23" xfId="0" applyBorder="1" applyAlignment="1">
      <alignment horizontal="center"/>
    </xf>
    <xf numFmtId="3" fontId="11" fillId="0" borderId="23" xfId="0" applyNumberFormat="1" applyFont="1" applyBorder="1"/>
    <xf numFmtId="165" fontId="0" fillId="0" borderId="0" xfId="0" applyNumberFormat="1" applyAlignment="1">
      <alignment horizontal="center"/>
    </xf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18" fillId="0" borderId="0" xfId="0" applyFont="1"/>
    <xf numFmtId="0" fontId="4" fillId="6" borderId="29" xfId="0" applyFont="1" applyFill="1" applyBorder="1"/>
    <xf numFmtId="0" fontId="6" fillId="7" borderId="29" xfId="0" applyFont="1" applyFill="1" applyBorder="1"/>
    <xf numFmtId="0" fontId="7" fillId="3" borderId="0" xfId="0" applyFont="1" applyFill="1"/>
    <xf numFmtId="0" fontId="8" fillId="5" borderId="0" xfId="0" applyFont="1" applyFill="1"/>
    <xf numFmtId="10" fontId="0" fillId="0" borderId="22" xfId="0" quotePrefix="1" applyNumberFormat="1" applyBorder="1" applyAlignment="1">
      <alignment horizontal="center"/>
    </xf>
    <xf numFmtId="0" fontId="9" fillId="6" borderId="2" xfId="0" applyFont="1" applyFill="1" applyBorder="1"/>
    <xf numFmtId="0" fontId="9" fillId="6" borderId="29" xfId="0" applyFont="1" applyFill="1" applyBorder="1"/>
    <xf numFmtId="0" fontId="19" fillId="0" borderId="0" xfId="0" applyFont="1"/>
    <xf numFmtId="0" fontId="20" fillId="7" borderId="2" xfId="0" applyFont="1" applyFill="1" applyBorder="1"/>
    <xf numFmtId="0" fontId="20" fillId="7" borderId="29" xfId="0" applyFont="1" applyFill="1" applyBorder="1"/>
    <xf numFmtId="164" fontId="20" fillId="7" borderId="3" xfId="0" applyNumberFormat="1" applyFont="1" applyFill="1" applyBorder="1" applyAlignment="1">
      <alignment horizontal="center"/>
    </xf>
    <xf numFmtId="0" fontId="21" fillId="3" borderId="0" xfId="0" applyFont="1" applyFill="1"/>
    <xf numFmtId="164" fontId="21" fillId="3" borderId="0" xfId="0" applyNumberFormat="1" applyFont="1" applyFill="1" applyAlignment="1">
      <alignment horizontal="center"/>
    </xf>
    <xf numFmtId="0" fontId="22" fillId="5" borderId="0" xfId="0" applyFont="1" applyFill="1"/>
    <xf numFmtId="10" fontId="22" fillId="5" borderId="0" xfId="0" applyNumberFormat="1" applyFont="1" applyFill="1" applyAlignment="1">
      <alignment horizontal="center"/>
    </xf>
    <xf numFmtId="0" fontId="4" fillId="4" borderId="2" xfId="0" applyFont="1" applyFill="1" applyBorder="1"/>
    <xf numFmtId="0" fontId="4" fillId="4" borderId="29" xfId="0" applyFont="1" applyFill="1" applyBorder="1"/>
    <xf numFmtId="0" fontId="7" fillId="5" borderId="2" xfId="0" applyFont="1" applyFill="1" applyBorder="1"/>
    <xf numFmtId="0" fontId="7" fillId="5" borderId="29" xfId="0" applyFont="1" applyFill="1" applyBorder="1"/>
    <xf numFmtId="0" fontId="7" fillId="5" borderId="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164" fontId="9" fillId="4" borderId="18" xfId="0" applyNumberFormat="1" applyFont="1" applyFill="1" applyBorder="1"/>
    <xf numFmtId="0" fontId="9" fillId="4" borderId="2" xfId="0" applyFont="1" applyFill="1" applyBorder="1"/>
    <xf numFmtId="0" fontId="9" fillId="4" borderId="29" xfId="0" applyFont="1" applyFill="1" applyBorder="1"/>
    <xf numFmtId="10" fontId="9" fillId="4" borderId="3" xfId="0" applyNumberFormat="1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9" fontId="2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3" fillId="8" borderId="24" xfId="0" applyFont="1" applyFill="1" applyBorder="1"/>
    <xf numFmtId="0" fontId="3" fillId="0" borderId="27" xfId="0" applyFont="1" applyBorder="1"/>
    <xf numFmtId="0" fontId="3" fillId="0" borderId="10" xfId="0" applyFont="1" applyBorder="1"/>
    <xf numFmtId="0" fontId="3" fillId="0" borderId="2" xfId="0" quotePrefix="1" applyFont="1" applyBorder="1"/>
    <xf numFmtId="0" fontId="3" fillId="0" borderId="3" xfId="0" applyFont="1" applyBorder="1"/>
    <xf numFmtId="0" fontId="3" fillId="0" borderId="16" xfId="0" quotePrefix="1" applyFont="1" applyBorder="1"/>
    <xf numFmtId="0" fontId="3" fillId="0" borderId="18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8" borderId="25" xfId="0" applyFill="1" applyBorder="1" applyAlignment="1">
      <alignment horizontal="center"/>
    </xf>
    <xf numFmtId="0" fontId="0" fillId="0" borderId="9" xfId="0" applyBorder="1"/>
    <xf numFmtId="0" fontId="0" fillId="0" borderId="25" xfId="0" applyBorder="1" applyAlignment="1">
      <alignment horizontal="center"/>
    </xf>
    <xf numFmtId="0" fontId="7" fillId="5" borderId="5" xfId="0" applyFont="1" applyFill="1" applyBorder="1"/>
    <xf numFmtId="0" fontId="16" fillId="5" borderId="7" xfId="0" applyFont="1" applyFill="1" applyBorder="1"/>
    <xf numFmtId="0" fontId="3" fillId="0" borderId="24" xfId="0" applyFont="1" applyBorder="1"/>
    <xf numFmtId="165" fontId="0" fillId="2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0" fillId="0" borderId="0" xfId="0" applyNumberFormat="1"/>
    <xf numFmtId="165" fontId="1" fillId="13" borderId="1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21" fillId="5" borderId="2" xfId="0" applyFont="1" applyFill="1" applyBorder="1"/>
    <xf numFmtId="164" fontId="21" fillId="5" borderId="3" xfId="0" applyNumberFormat="1" applyFont="1" applyFill="1" applyBorder="1" applyAlignment="1">
      <alignment horizontal="center"/>
    </xf>
    <xf numFmtId="0" fontId="23" fillId="4" borderId="2" xfId="0" applyFont="1" applyFill="1" applyBorder="1"/>
    <xf numFmtId="0" fontId="23" fillId="4" borderId="29" xfId="0" applyFont="1" applyFill="1" applyBorder="1"/>
    <xf numFmtId="0" fontId="23" fillId="4" borderId="3" xfId="0" applyFont="1" applyFill="1" applyBorder="1"/>
    <xf numFmtId="0" fontId="24" fillId="4" borderId="2" xfId="0" applyFont="1" applyFill="1" applyBorder="1"/>
    <xf numFmtId="0" fontId="24" fillId="4" borderId="29" xfId="0" applyFont="1" applyFill="1" applyBorder="1"/>
    <xf numFmtId="164" fontId="24" fillId="4" borderId="3" xfId="0" applyNumberFormat="1" applyFont="1" applyFill="1" applyBorder="1" applyAlignment="1">
      <alignment horizontal="center"/>
    </xf>
    <xf numFmtId="0" fontId="23" fillId="14" borderId="2" xfId="0" applyFont="1" applyFill="1" applyBorder="1"/>
    <xf numFmtId="0" fontId="23" fillId="14" borderId="29" xfId="0" applyFont="1" applyFill="1" applyBorder="1"/>
    <xf numFmtId="0" fontId="23" fillId="14" borderId="3" xfId="0" applyFont="1" applyFill="1" applyBorder="1"/>
    <xf numFmtId="0" fontId="24" fillId="14" borderId="2" xfId="0" applyFont="1" applyFill="1" applyBorder="1"/>
    <xf numFmtId="0" fontId="24" fillId="14" borderId="29" xfId="0" applyFont="1" applyFill="1" applyBorder="1"/>
    <xf numFmtId="164" fontId="24" fillId="14" borderId="3" xfId="0" applyNumberFormat="1" applyFon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9" fillId="6" borderId="3" xfId="0" applyNumberFormat="1" applyFon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10" fontId="0" fillId="0" borderId="0" xfId="0" quotePrefix="1" applyNumberFormat="1" applyAlignment="1">
      <alignment horizontal="center"/>
    </xf>
    <xf numFmtId="9" fontId="20" fillId="7" borderId="29" xfId="0" applyNumberFormat="1" applyFont="1" applyFill="1" applyBorder="1" applyAlignment="1">
      <alignment horizontal="center"/>
    </xf>
    <xf numFmtId="9" fontId="21" fillId="5" borderId="29" xfId="0" applyNumberFormat="1" applyFont="1" applyFill="1" applyBorder="1"/>
    <xf numFmtId="9" fontId="24" fillId="4" borderId="29" xfId="0" applyNumberFormat="1" applyFont="1" applyFill="1" applyBorder="1" applyAlignment="1">
      <alignment horizontal="center"/>
    </xf>
    <xf numFmtId="9" fontId="24" fillId="14" borderId="29" xfId="0" applyNumberFormat="1" applyFont="1" applyFill="1" applyBorder="1" applyAlignment="1">
      <alignment horizontal="center"/>
    </xf>
    <xf numFmtId="0" fontId="4" fillId="2" borderId="0" xfId="0" applyFont="1" applyFill="1"/>
    <xf numFmtId="0" fontId="0" fillId="0" borderId="2" xfId="0" applyBorder="1"/>
    <xf numFmtId="0" fontId="14" fillId="15" borderId="29" xfId="0" applyFont="1" applyFill="1" applyBorder="1"/>
    <xf numFmtId="0" fontId="14" fillId="15" borderId="29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6" xfId="0" applyFont="1" applyFill="1" applyBorder="1"/>
    <xf numFmtId="0" fontId="3" fillId="2" borderId="31" xfId="0" quotePrefix="1" applyFont="1" applyFill="1" applyBorder="1"/>
    <xf numFmtId="0" fontId="3" fillId="2" borderId="3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0" fillId="0" borderId="32" xfId="0" applyBorder="1"/>
    <xf numFmtId="0" fontId="0" fillId="0" borderId="28" xfId="0" applyBorder="1"/>
    <xf numFmtId="3" fontId="0" fillId="0" borderId="28" xfId="0" applyNumberFormat="1" applyBorder="1" applyAlignment="1">
      <alignment horizontal="center"/>
    </xf>
    <xf numFmtId="9" fontId="3" fillId="16" borderId="28" xfId="0" applyNumberFormat="1" applyFont="1" applyFill="1" applyBorder="1" applyAlignment="1">
      <alignment horizontal="center"/>
    </xf>
    <xf numFmtId="9" fontId="3" fillId="16" borderId="33" xfId="0" applyNumberFormat="1" applyFont="1" applyFill="1" applyBorder="1" applyAlignment="1">
      <alignment horizontal="center"/>
    </xf>
    <xf numFmtId="0" fontId="3" fillId="2" borderId="8" xfId="0" applyFont="1" applyFill="1" applyBorder="1"/>
    <xf numFmtId="0" fontId="0" fillId="0" borderId="10" xfId="0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3" fillId="2" borderId="5" xfId="0" applyFont="1" applyFill="1" applyBorder="1"/>
    <xf numFmtId="0" fontId="3" fillId="2" borderId="6" xfId="0" quotePrefix="1" applyFont="1" applyFill="1" applyBorder="1"/>
    <xf numFmtId="0" fontId="3" fillId="2" borderId="34" xfId="0" applyFont="1" applyFill="1" applyBorder="1"/>
    <xf numFmtId="0" fontId="3" fillId="2" borderId="35" xfId="0" quotePrefix="1" applyFont="1" applyFill="1" applyBorder="1"/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3" fontId="0" fillId="0" borderId="6" xfId="0" applyNumberFormat="1" applyBorder="1" applyAlignment="1">
      <alignment horizontal="center"/>
    </xf>
    <xf numFmtId="9" fontId="3" fillId="16" borderId="6" xfId="0" applyNumberFormat="1" applyFont="1" applyFill="1" applyBorder="1" applyAlignment="1">
      <alignment horizontal="center"/>
    </xf>
    <xf numFmtId="164" fontId="3" fillId="16" borderId="7" xfId="0" applyNumberFormat="1" applyFont="1" applyFill="1" applyBorder="1" applyAlignment="1">
      <alignment horizontal="center"/>
    </xf>
    <xf numFmtId="0" fontId="14" fillId="15" borderId="14" xfId="0" applyFont="1" applyFill="1" applyBorder="1"/>
    <xf numFmtId="0" fontId="14" fillId="15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9" fontId="3" fillId="16" borderId="7" xfId="0" applyNumberFormat="1" applyFont="1" applyFill="1" applyBorder="1" applyAlignment="1">
      <alignment horizontal="center"/>
    </xf>
    <xf numFmtId="0" fontId="25" fillId="17" borderId="2" xfId="0" applyFont="1" applyFill="1" applyBorder="1"/>
    <xf numFmtId="0" fontId="25" fillId="17" borderId="3" xfId="0" applyFont="1" applyFill="1" applyBorder="1"/>
    <xf numFmtId="0" fontId="25" fillId="6" borderId="2" xfId="0" applyFont="1" applyFill="1" applyBorder="1"/>
    <xf numFmtId="0" fontId="25" fillId="6" borderId="3" xfId="0" applyFont="1" applyFill="1" applyBorder="1"/>
    <xf numFmtId="10" fontId="1" fillId="0" borderId="1" xfId="0" applyNumberFormat="1" applyFont="1" applyBorder="1" applyAlignment="1">
      <alignment horizontal="center"/>
    </xf>
    <xf numFmtId="165" fontId="4" fillId="15" borderId="1" xfId="0" applyNumberFormat="1" applyFont="1" applyFill="1" applyBorder="1" applyAlignment="1">
      <alignment horizontal="center"/>
    </xf>
    <xf numFmtId="0" fontId="4" fillId="2" borderId="37" xfId="0" applyFont="1" applyFill="1" applyBorder="1"/>
    <xf numFmtId="0" fontId="4" fillId="6" borderId="37" xfId="0" applyFont="1" applyFill="1" applyBorder="1"/>
    <xf numFmtId="0" fontId="7" fillId="12" borderId="37" xfId="0" applyFont="1" applyFill="1" applyBorder="1"/>
    <xf numFmtId="0" fontId="6" fillId="7" borderId="37" xfId="0" applyFont="1" applyFill="1" applyBorder="1"/>
    <xf numFmtId="0" fontId="4" fillId="4" borderId="37" xfId="0" applyFont="1" applyFill="1" applyBorder="1"/>
    <xf numFmtId="0" fontId="7" fillId="18" borderId="37" xfId="0" applyFont="1" applyFill="1" applyBorder="1"/>
    <xf numFmtId="0" fontId="4" fillId="18" borderId="0" xfId="0" applyFont="1" applyFill="1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15" borderId="1" xfId="0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9" fontId="1" fillId="2" borderId="22" xfId="0" applyNumberFormat="1" applyFont="1" applyFill="1" applyBorder="1" applyAlignment="1">
      <alignment horizontal="center"/>
    </xf>
    <xf numFmtId="0" fontId="0" fillId="0" borderId="30" xfId="0" applyBorder="1"/>
    <xf numFmtId="10" fontId="0" fillId="0" borderId="38" xfId="0" applyNumberFormat="1" applyBorder="1" applyAlignment="1">
      <alignment horizontal="center"/>
    </xf>
    <xf numFmtId="0" fontId="3" fillId="0" borderId="5" xfId="0" quotePrefix="1" applyFont="1" applyBorder="1"/>
    <xf numFmtId="0" fontId="3" fillId="0" borderId="7" xfId="0" applyFont="1" applyBorder="1"/>
    <xf numFmtId="0" fontId="3" fillId="0" borderId="12" xfId="0" applyFont="1" applyBorder="1"/>
    <xf numFmtId="10" fontId="0" fillId="0" borderId="25" xfId="0" applyNumberFormat="1" applyBorder="1" applyAlignment="1">
      <alignment horizontal="center"/>
    </xf>
    <xf numFmtId="0" fontId="0" fillId="0" borderId="39" xfId="0" applyBorder="1"/>
    <xf numFmtId="10" fontId="0" fillId="0" borderId="40" xfId="0" applyNumberFormat="1" applyBorder="1" applyAlignment="1">
      <alignment horizontal="center"/>
    </xf>
    <xf numFmtId="9" fontId="0" fillId="0" borderId="40" xfId="0" applyNumberFormat="1" applyBorder="1" applyAlignment="1">
      <alignment horizontal="center"/>
    </xf>
    <xf numFmtId="0" fontId="0" fillId="0" borderId="3" xfId="0" applyBorder="1"/>
    <xf numFmtId="0" fontId="0" fillId="0" borderId="33" xfId="0" applyBorder="1"/>
    <xf numFmtId="0" fontId="3" fillId="8" borderId="8" xfId="0" applyFont="1" applyFill="1" applyBorder="1"/>
    <xf numFmtId="0" fontId="0" fillId="8" borderId="9" xfId="0" applyFill="1" applyBorder="1"/>
    <xf numFmtId="10" fontId="0" fillId="0" borderId="12" xfId="0" applyNumberFormat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19" borderId="0" xfId="0" applyFill="1"/>
    <xf numFmtId="0" fontId="3" fillId="19" borderId="0" xfId="0" applyFont="1" applyFill="1"/>
    <xf numFmtId="0" fontId="1" fillId="19" borderId="1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10" fontId="0" fillId="19" borderId="22" xfId="0" applyNumberFormat="1" applyFill="1" applyBorder="1" applyAlignment="1">
      <alignment horizontal="center"/>
    </xf>
    <xf numFmtId="10" fontId="3" fillId="19" borderId="0" xfId="0" applyNumberFormat="1" applyFont="1" applyFill="1" applyAlignment="1">
      <alignment horizontal="center"/>
    </xf>
    <xf numFmtId="10" fontId="0" fillId="19" borderId="0" xfId="0" quotePrefix="1" applyNumberFormat="1" applyFill="1" applyAlignment="1">
      <alignment horizontal="center"/>
    </xf>
    <xf numFmtId="164" fontId="1" fillId="20" borderId="22" xfId="0" applyNumberFormat="1" applyFont="1" applyFill="1" applyBorder="1" applyAlignment="1">
      <alignment horizontal="center"/>
    </xf>
  </cellXfs>
  <cellStyles count="3">
    <cellStyle name="Hyperkobling" xfId="1" builtinId="8"/>
    <cellStyle name="Normal" xfId="0" builtinId="0"/>
    <cellStyle name="Normal 8" xfId="2" xr:uid="{EAE346B4-78AE-471C-BDDE-2E5C689CD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1059</xdr:colOff>
      <xdr:row>0</xdr:row>
      <xdr:rowOff>0</xdr:rowOff>
    </xdr:from>
    <xdr:to>
      <xdr:col>5</xdr:col>
      <xdr:colOff>412750</xdr:colOff>
      <xdr:row>4</xdr:row>
      <xdr:rowOff>90420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60892" y="0"/>
          <a:ext cx="2306108" cy="1064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21168</xdr:colOff>
      <xdr:row>0</xdr:row>
      <xdr:rowOff>142876</xdr:rowOff>
    </xdr:from>
    <xdr:to>
      <xdr:col>18</xdr:col>
      <xdr:colOff>6</xdr:colOff>
      <xdr:row>3</xdr:row>
      <xdr:rowOff>41275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6918" y="142876"/>
          <a:ext cx="2656422" cy="692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</xdr:colOff>
      <xdr:row>0</xdr:row>
      <xdr:rowOff>0</xdr:rowOff>
    </xdr:from>
    <xdr:to>
      <xdr:col>5</xdr:col>
      <xdr:colOff>560916</xdr:colOff>
      <xdr:row>5</xdr:row>
      <xdr:rowOff>147570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9F9C1-2653-4805-9C9E-681805DE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360891" y="0"/>
          <a:ext cx="2962275" cy="130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931335</xdr:colOff>
      <xdr:row>0</xdr:row>
      <xdr:rowOff>142876</xdr:rowOff>
    </xdr:from>
    <xdr:to>
      <xdr:col>17</xdr:col>
      <xdr:colOff>1587507</xdr:colOff>
      <xdr:row>4</xdr:row>
      <xdr:rowOff>98425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56A21DCA-EE4A-40AC-B8A6-903A78E66C4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7668" y="142876"/>
          <a:ext cx="3005672" cy="929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1779984</xdr:colOff>
      <xdr:row>0</xdr:row>
      <xdr:rowOff>65485</xdr:rowOff>
    </xdr:from>
    <xdr:to>
      <xdr:col>7</xdr:col>
      <xdr:colOff>704850</xdr:colOff>
      <xdr:row>3</xdr:row>
      <xdr:rowOff>114300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1A470A4E-159B-4250-9532-A2079F0C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497" y="65485"/>
          <a:ext cx="1091803" cy="1077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890588</xdr:colOff>
      <xdr:row>0</xdr:row>
      <xdr:rowOff>237684</xdr:rowOff>
    </xdr:from>
    <xdr:to>
      <xdr:col>6</xdr:col>
      <xdr:colOff>1543051</xdr:colOff>
      <xdr:row>2</xdr:row>
      <xdr:rowOff>13225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660AD34-F122-4F74-B2FD-182719867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8038" y="237684"/>
          <a:ext cx="2362201" cy="623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A31"/>
  <sheetViews>
    <sheetView tabSelected="1" zoomScale="60" zoomScaleNormal="60" workbookViewId="0">
      <selection activeCell="V27" sqref="V27"/>
    </sheetView>
  </sheetViews>
  <sheetFormatPr baseColWidth="10" defaultRowHeight="14.5" x14ac:dyDescent="0.35"/>
  <cols>
    <col min="1" max="1" width="1.453125" customWidth="1"/>
    <col min="2" max="2" width="1.54296875" customWidth="1"/>
    <col min="3" max="3" width="2.1796875" customWidth="1"/>
    <col min="4" max="4" width="23.81640625" customWidth="1"/>
    <col min="5" max="5" width="3.26953125" customWidth="1"/>
    <col min="6" max="6" width="24.54296875" customWidth="1"/>
    <col min="7" max="7" width="3.26953125" customWidth="1"/>
    <col min="8" max="8" width="22" customWidth="1"/>
    <col min="9" max="9" width="3.26953125" customWidth="1"/>
    <col min="10" max="10" width="24" customWidth="1"/>
    <col min="11" max="11" width="2.453125" customWidth="1"/>
    <col min="12" max="12" width="19.26953125" customWidth="1"/>
    <col min="13" max="14" width="20.81640625" customWidth="1"/>
    <col min="15" max="15" width="15.54296875" customWidth="1"/>
    <col min="16" max="16" width="2.453125" customWidth="1"/>
    <col min="17" max="17" width="15.54296875" customWidth="1"/>
    <col min="18" max="18" width="22.7265625" customWidth="1"/>
    <col min="19" max="19" width="1.26953125" customWidth="1"/>
    <col min="20" max="20" width="2.1796875" customWidth="1"/>
    <col min="30" max="32" width="11.453125" customWidth="1"/>
    <col min="33" max="45" width="10.54296875" customWidth="1"/>
    <col min="46" max="46" width="26.81640625" customWidth="1"/>
    <col min="47" max="47" width="18" customWidth="1"/>
    <col min="48" max="48" width="18.81640625" customWidth="1"/>
    <col min="49" max="49" width="13.6328125" customWidth="1"/>
    <col min="50" max="50" width="16.1796875" customWidth="1"/>
    <col min="51" max="51" width="14.81640625" customWidth="1"/>
    <col min="52" max="53" width="11.453125" customWidth="1"/>
  </cols>
  <sheetData>
    <row r="1" spans="2:53" ht="15" thickBot="1" x14ac:dyDescent="0.4">
      <c r="E1" s="3"/>
      <c r="F1" s="3"/>
      <c r="G1" s="3"/>
      <c r="H1" s="3"/>
      <c r="I1" s="3"/>
    </row>
    <row r="2" spans="2:53" ht="23.5" x14ac:dyDescent="0.55000000000000004">
      <c r="E2" s="3"/>
      <c r="F2" s="3"/>
      <c r="G2" s="3"/>
      <c r="H2" s="55" t="s">
        <v>152</v>
      </c>
      <c r="I2" s="56"/>
      <c r="J2" s="56"/>
      <c r="K2" s="56"/>
      <c r="L2" s="57"/>
      <c r="M2" s="58"/>
    </row>
    <row r="3" spans="2:53" ht="24" thickBot="1" x14ac:dyDescent="0.6">
      <c r="E3" s="3"/>
      <c r="F3" s="3"/>
      <c r="G3" s="3"/>
      <c r="H3" s="59" t="s">
        <v>259</v>
      </c>
      <c r="I3" s="60"/>
      <c r="J3" s="61"/>
      <c r="K3" s="61"/>
      <c r="L3" s="60"/>
      <c r="M3" s="62"/>
      <c r="N3" t="s">
        <v>256</v>
      </c>
    </row>
    <row r="4" spans="2:53" x14ac:dyDescent="0.35"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53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53" x14ac:dyDescent="0.35">
      <c r="E6" s="3"/>
      <c r="F6" s="3"/>
      <c r="G6" s="3"/>
      <c r="H6" s="3"/>
      <c r="I6" s="3"/>
      <c r="O6" s="21"/>
    </row>
    <row r="7" spans="2:53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2:53" ht="24" thickBot="1" x14ac:dyDescent="0.6">
      <c r="B8" s="63"/>
      <c r="D8" s="22"/>
      <c r="E8" s="22"/>
      <c r="F8" s="22"/>
      <c r="G8" s="22"/>
      <c r="H8" s="22"/>
      <c r="I8" s="22"/>
      <c r="J8" s="22"/>
      <c r="K8" s="22"/>
      <c r="N8" s="22"/>
      <c r="O8" s="22"/>
      <c r="P8" s="22"/>
      <c r="Q8" s="22"/>
      <c r="R8" s="22"/>
      <c r="S8" s="22"/>
      <c r="T8" s="63"/>
    </row>
    <row r="9" spans="2:53" ht="23.5" x14ac:dyDescent="0.55000000000000004">
      <c r="B9" s="63"/>
      <c r="D9" s="22"/>
      <c r="E9" s="22"/>
      <c r="F9" s="23" t="s">
        <v>64</v>
      </c>
      <c r="G9" s="22"/>
      <c r="H9" s="23" t="s">
        <v>156</v>
      </c>
      <c r="I9" s="22"/>
      <c r="J9" s="23" t="s">
        <v>15</v>
      </c>
      <c r="K9" s="22"/>
      <c r="L9" s="24" t="s">
        <v>22</v>
      </c>
      <c r="M9" s="23" t="s">
        <v>23</v>
      </c>
      <c r="N9" s="23" t="s">
        <v>24</v>
      </c>
      <c r="O9" s="23" t="s">
        <v>25</v>
      </c>
      <c r="P9" s="4"/>
      <c r="Q9" s="24" t="s">
        <v>26</v>
      </c>
      <c r="R9" s="23" t="s">
        <v>27</v>
      </c>
      <c r="S9" s="22"/>
      <c r="T9" s="63"/>
      <c r="AY9" t="s">
        <v>300</v>
      </c>
    </row>
    <row r="10" spans="2:53" ht="24" thickBot="1" x14ac:dyDescent="0.6">
      <c r="B10" s="63"/>
      <c r="E10" s="22"/>
      <c r="F10" s="25" t="s">
        <v>28</v>
      </c>
      <c r="G10" s="22"/>
      <c r="H10" s="25" t="s">
        <v>233</v>
      </c>
      <c r="I10" s="22"/>
      <c r="J10" s="25" t="s">
        <v>28</v>
      </c>
      <c r="K10" s="22"/>
      <c r="L10" s="26" t="s">
        <v>29</v>
      </c>
      <c r="M10" s="25" t="s">
        <v>18</v>
      </c>
      <c r="N10" s="25">
        <v>2023</v>
      </c>
      <c r="O10" s="25" t="s">
        <v>28</v>
      </c>
      <c r="P10" s="4"/>
      <c r="Q10" s="26" t="s">
        <v>28</v>
      </c>
      <c r="R10" s="25" t="s">
        <v>153</v>
      </c>
      <c r="S10" s="22"/>
      <c r="T10" s="63"/>
      <c r="AU10" t="s">
        <v>154</v>
      </c>
      <c r="AV10" t="s">
        <v>155</v>
      </c>
      <c r="AW10" t="s">
        <v>32</v>
      </c>
      <c r="AX10" t="s">
        <v>157</v>
      </c>
      <c r="AY10" t="s">
        <v>158</v>
      </c>
      <c r="AZ10" t="s">
        <v>160</v>
      </c>
      <c r="BA10" t="s">
        <v>161</v>
      </c>
    </row>
    <row r="11" spans="2:53" ht="24" thickBot="1" x14ac:dyDescent="0.6">
      <c r="B11" s="63"/>
      <c r="E11" s="22"/>
      <c r="G11" s="22"/>
      <c r="H11" s="22"/>
      <c r="I11" s="22"/>
      <c r="O11" s="4"/>
      <c r="P11" s="4"/>
      <c r="Q11" s="4"/>
      <c r="T11" s="63"/>
    </row>
    <row r="12" spans="2:53" ht="24" thickBot="1" x14ac:dyDescent="0.6">
      <c r="B12" s="63"/>
      <c r="D12" s="236" t="s">
        <v>1</v>
      </c>
      <c r="E12" s="22"/>
      <c r="F12" s="33">
        <f>'Datablad nye'!D31</f>
        <v>100</v>
      </c>
      <c r="G12" s="22"/>
      <c r="H12" s="243">
        <v>0.51</v>
      </c>
      <c r="I12" s="22"/>
      <c r="J12" s="33">
        <v>100</v>
      </c>
      <c r="K12" s="32"/>
      <c r="L12" s="29">
        <v>7.0000000000000007E-2</v>
      </c>
      <c r="M12" s="28">
        <v>0.02</v>
      </c>
      <c r="N12" s="28">
        <f>SUM(L12:M12)</f>
        <v>9.0000000000000011E-2</v>
      </c>
      <c r="O12" s="33">
        <v>100</v>
      </c>
      <c r="P12" s="4"/>
      <c r="Q12" s="264">
        <v>100</v>
      </c>
      <c r="R12" s="31">
        <v>100</v>
      </c>
      <c r="S12" s="32"/>
      <c r="T12" s="63"/>
      <c r="AT12" s="36" t="s">
        <v>1</v>
      </c>
      <c r="AU12" s="164">
        <f>'Datablad nye'!C31</f>
        <v>106269</v>
      </c>
      <c r="AV12" s="165">
        <f>H12+(100%-H12)*N12</f>
        <v>0.55410000000000004</v>
      </c>
      <c r="AW12" s="22">
        <f t="shared" ref="AW12" si="0">AU12-(AU12*AV12)</f>
        <v>47385.347099999999</v>
      </c>
      <c r="AX12" s="22">
        <v>100</v>
      </c>
      <c r="AY12" s="164">
        <f>AW12*10/7</f>
        <v>67693.353000000003</v>
      </c>
      <c r="AZ12" s="41">
        <f t="shared" ref="AZ12" si="1">AY12-AW12</f>
        <v>20308.005900000004</v>
      </c>
      <c r="BA12" s="166">
        <v>100</v>
      </c>
    </row>
    <row r="13" spans="2:53" ht="7.5" customHeight="1" x14ac:dyDescent="0.55000000000000004">
      <c r="B13" s="63"/>
      <c r="E13" s="22"/>
      <c r="F13" s="22"/>
      <c r="G13" s="22"/>
      <c r="H13" s="22"/>
      <c r="I13" s="22"/>
      <c r="J13" s="22"/>
      <c r="K13" s="22"/>
      <c r="L13" s="34"/>
      <c r="M13" s="22"/>
      <c r="N13" s="22"/>
      <c r="O13" s="4"/>
      <c r="P13" s="4"/>
      <c r="Q13" s="22"/>
      <c r="R13" s="35"/>
      <c r="S13" s="32"/>
      <c r="T13" s="63"/>
    </row>
    <row r="14" spans="2:53" ht="23.5" x14ac:dyDescent="0.55000000000000004">
      <c r="B14" s="63"/>
      <c r="D14" s="38" t="s">
        <v>0</v>
      </c>
      <c r="E14" s="22"/>
      <c r="F14" s="2" t="s">
        <v>79</v>
      </c>
      <c r="G14" s="22"/>
      <c r="H14" s="243" t="s">
        <v>182</v>
      </c>
      <c r="I14" s="22"/>
      <c r="J14" s="33">
        <f>'Datablad nye'!D42</f>
        <v>106.00745393716868</v>
      </c>
      <c r="K14" s="32"/>
      <c r="L14" s="29">
        <v>0.09</v>
      </c>
      <c r="M14" s="231" t="s">
        <v>85</v>
      </c>
      <c r="N14" s="231">
        <f>SUM(L14:M14)</f>
        <v>0.09</v>
      </c>
      <c r="O14" s="33">
        <f>AX14</f>
        <v>106.00745393716869</v>
      </c>
      <c r="P14" s="4"/>
      <c r="Q14" s="1">
        <v>100</v>
      </c>
      <c r="R14" s="31">
        <f>BA14</f>
        <v>85.982607479939716</v>
      </c>
      <c r="S14" s="32"/>
      <c r="T14" s="63"/>
      <c r="AT14" s="38" t="s">
        <v>0</v>
      </c>
      <c r="AU14" s="164" t="s">
        <v>79</v>
      </c>
      <c r="AV14" s="165" t="s">
        <v>79</v>
      </c>
      <c r="AW14" s="164">
        <f>('Datablad nye'!E24)-('Datablad nye'!E24)*N14</f>
        <v>50232</v>
      </c>
      <c r="AX14" s="32">
        <f>AW14*100/AW$12</f>
        <v>106.00745393716869</v>
      </c>
      <c r="AY14" s="164">
        <f>AY$12*Q14/100</f>
        <v>67693.353000000003</v>
      </c>
      <c r="AZ14" s="41">
        <f>AY14-AW14</f>
        <v>17461.353000000003</v>
      </c>
      <c r="BA14" s="166">
        <f>AZ14*100/AZ$12</f>
        <v>85.982607479939716</v>
      </c>
    </row>
    <row r="15" spans="2:53" ht="7.5" customHeight="1" x14ac:dyDescent="0.55000000000000004">
      <c r="B15" s="63"/>
      <c r="E15" s="22"/>
      <c r="F15" s="22"/>
      <c r="G15" s="22"/>
      <c r="H15" s="22"/>
      <c r="I15" s="22"/>
      <c r="J15" s="22"/>
      <c r="K15" s="22"/>
      <c r="L15" s="34"/>
      <c r="M15" s="22"/>
      <c r="N15" s="22"/>
      <c r="O15" s="4"/>
      <c r="P15" s="4"/>
      <c r="Q15" s="22"/>
      <c r="R15" s="35"/>
      <c r="S15" s="32"/>
      <c r="T15" s="63"/>
      <c r="AX15" s="166"/>
    </row>
    <row r="16" spans="2:53" ht="23.5" x14ac:dyDescent="0.55000000000000004">
      <c r="B16" s="63"/>
      <c r="D16" s="37" t="s">
        <v>2</v>
      </c>
      <c r="E16" s="22"/>
      <c r="F16" s="33">
        <f>'Datablad nye'!D33</f>
        <v>103.32269994071649</v>
      </c>
      <c r="G16" s="22"/>
      <c r="H16" s="243">
        <v>0.47</v>
      </c>
      <c r="I16" s="22"/>
      <c r="J16" s="33">
        <f>'Datablad nye'!D44</f>
        <v>111.75720605832601</v>
      </c>
      <c r="K16" s="32"/>
      <c r="L16" s="29">
        <v>6.5000000000000002E-2</v>
      </c>
      <c r="M16" s="231" t="s">
        <v>85</v>
      </c>
      <c r="N16" s="231">
        <f>SUM(L16:M16)</f>
        <v>6.5000000000000002E-2</v>
      </c>
      <c r="O16" s="33">
        <f>AX16</f>
        <v>114.82745897201629</v>
      </c>
      <c r="P16" s="4"/>
      <c r="Q16" s="1">
        <v>100</v>
      </c>
      <c r="R16" s="31">
        <f>BA16</f>
        <v>65.402595731962009</v>
      </c>
      <c r="S16" s="32"/>
      <c r="T16" s="63"/>
      <c r="AT16" s="37" t="s">
        <v>2</v>
      </c>
      <c r="AU16" s="164">
        <f>'Datablad nye'!C33</f>
        <v>109800</v>
      </c>
      <c r="AV16" s="165">
        <f>H16+(100%-H16)*N16</f>
        <v>0.50444999999999995</v>
      </c>
      <c r="AW16" s="22">
        <f t="shared" ref="AW16" si="2">AU16-(AU16*AV16)</f>
        <v>54411.390000000007</v>
      </c>
      <c r="AX16" s="32">
        <f>AW16*100/AW$12</f>
        <v>114.82745897201629</v>
      </c>
      <c r="AY16" s="164">
        <f>AY$12*Q16/100</f>
        <v>67693.353000000003</v>
      </c>
      <c r="AZ16" s="41">
        <f t="shared" ref="AZ16" si="3">AY16-AW16</f>
        <v>13281.962999999996</v>
      </c>
      <c r="BA16" s="166">
        <f>AZ16*100/AZ$12</f>
        <v>65.402595731962009</v>
      </c>
    </row>
    <row r="17" spans="2:53" ht="7.5" customHeight="1" thickBot="1" x14ac:dyDescent="0.6">
      <c r="B17" s="63"/>
      <c r="E17" s="22"/>
      <c r="F17" s="22"/>
      <c r="G17" s="22"/>
      <c r="H17" s="22"/>
      <c r="I17" s="22"/>
      <c r="J17" s="22"/>
      <c r="K17" s="22"/>
      <c r="L17" s="34"/>
      <c r="M17" s="22"/>
      <c r="N17" s="22"/>
      <c r="O17" s="4"/>
      <c r="P17" s="4"/>
      <c r="Q17" s="22"/>
      <c r="R17" s="35"/>
      <c r="S17" s="32"/>
      <c r="T17" s="63"/>
      <c r="AX17" s="166"/>
    </row>
    <row r="18" spans="2:53" ht="24" thickBot="1" x14ac:dyDescent="0.6">
      <c r="B18" s="63"/>
      <c r="D18" s="234" t="s">
        <v>13</v>
      </c>
      <c r="E18" s="22"/>
      <c r="F18" s="33">
        <f>'Datablad nye'!D32</f>
        <v>103.20319189980145</v>
      </c>
      <c r="G18" s="22"/>
      <c r="H18" s="243">
        <v>0.39200000000000002</v>
      </c>
      <c r="I18" s="22"/>
      <c r="J18" s="33">
        <f>'Datablad nye'!D43</f>
        <v>127.44289472557223</v>
      </c>
      <c r="K18" s="32"/>
      <c r="L18" s="29">
        <v>0.09</v>
      </c>
      <c r="M18" s="28" t="s">
        <v>85</v>
      </c>
      <c r="N18" s="28">
        <f>SUM(L18:M18)</f>
        <v>0.09</v>
      </c>
      <c r="O18" s="33">
        <f>AX18</f>
        <v>128.05620545934548</v>
      </c>
      <c r="P18" s="4"/>
      <c r="Q18" s="1">
        <v>100</v>
      </c>
      <c r="R18" s="31">
        <f>BA18</f>
        <v>34.535520594860593</v>
      </c>
      <c r="S18" s="32"/>
      <c r="T18" s="63"/>
      <c r="AT18" s="27" t="s">
        <v>13</v>
      </c>
      <c r="AU18" s="164">
        <f>'Datablad nye'!C32</f>
        <v>109673</v>
      </c>
      <c r="AV18" s="165">
        <f>H18+(100%-H18)*N18</f>
        <v>0.44672000000000001</v>
      </c>
      <c r="AW18" s="22">
        <f t="shared" ref="AW18" si="4">AU18-(AU18*AV18)</f>
        <v>60679.877439999997</v>
      </c>
      <c r="AX18" s="32">
        <f>AW18*100/AW$12</f>
        <v>128.05620545934548</v>
      </c>
      <c r="AY18" s="164">
        <f>AY$12*Q18/100</f>
        <v>67693.353000000003</v>
      </c>
      <c r="AZ18" s="41">
        <f t="shared" ref="AZ18" si="5">AY18-AW18</f>
        <v>7013.4755600000062</v>
      </c>
      <c r="BA18" s="166">
        <f>AZ18*100/AZ$12</f>
        <v>34.535520594860593</v>
      </c>
    </row>
    <row r="19" spans="2:53" ht="7.5" customHeight="1" thickBot="1" x14ac:dyDescent="0.6">
      <c r="B19" s="63"/>
      <c r="E19" s="22"/>
      <c r="F19" s="22"/>
      <c r="G19" s="22"/>
      <c r="H19" s="22"/>
      <c r="I19" s="22"/>
      <c r="J19" s="22"/>
      <c r="K19" s="22"/>
      <c r="L19" s="34"/>
      <c r="M19" s="22"/>
      <c r="N19" s="22"/>
      <c r="O19" s="4"/>
      <c r="P19" s="4"/>
      <c r="Q19" s="22"/>
      <c r="R19" s="35"/>
      <c r="S19" s="32"/>
      <c r="T19" s="63"/>
      <c r="AX19" s="166"/>
    </row>
    <row r="20" spans="2:53" ht="24" thickBot="1" x14ac:dyDescent="0.6">
      <c r="B20" s="63"/>
      <c r="D20" s="235" t="s">
        <v>45</v>
      </c>
      <c r="E20" s="22"/>
      <c r="F20" s="33">
        <f>'Datablad nye'!D35</f>
        <v>138.94644722355531</v>
      </c>
      <c r="G20" s="22"/>
      <c r="H20" s="269">
        <v>0.44</v>
      </c>
      <c r="I20" s="22"/>
      <c r="J20" s="33">
        <f>'Datablad nye'!D46</f>
        <v>158.7959396840632</v>
      </c>
      <c r="K20" s="32"/>
      <c r="L20" s="29">
        <v>0.09</v>
      </c>
      <c r="M20" s="231" t="s">
        <v>85</v>
      </c>
      <c r="N20" s="231">
        <f>SUM(L20:M20)</f>
        <v>0.09</v>
      </c>
      <c r="O20" s="33">
        <f>AX20</f>
        <v>158.7959396840632</v>
      </c>
      <c r="P20" s="4"/>
      <c r="Q20" s="1">
        <v>130</v>
      </c>
      <c r="R20" s="31">
        <f>BA20</f>
        <v>62.809474070519208</v>
      </c>
      <c r="S20" s="32"/>
      <c r="T20" s="63"/>
      <c r="AT20" s="106" t="s">
        <v>45</v>
      </c>
      <c r="AU20" s="164">
        <f>'Datablad nye'!C35</f>
        <v>147657</v>
      </c>
      <c r="AV20" s="165">
        <f>H20+((100%-H20)*N20)</f>
        <v>0.4904</v>
      </c>
      <c r="AW20" s="22">
        <f t="shared" ref="AW20" si="6">AU20-(AU20*AV20)</f>
        <v>75246.007199999993</v>
      </c>
      <c r="AX20" s="32">
        <f>AW20*100/AW$12</f>
        <v>158.7959396840632</v>
      </c>
      <c r="AY20" s="164">
        <f>AY$12*Q20/100</f>
        <v>88001.358900000007</v>
      </c>
      <c r="AZ20" s="41">
        <f t="shared" ref="AZ20" si="7">AY20-AW20</f>
        <v>12755.351700000014</v>
      </c>
      <c r="BA20" s="166">
        <f>AZ20*100/AZ$12</f>
        <v>62.809474070519208</v>
      </c>
    </row>
    <row r="21" spans="2:53" ht="7.5" customHeight="1" thickBot="1" x14ac:dyDescent="0.6">
      <c r="B21" s="63"/>
      <c r="E21" s="22"/>
      <c r="F21" s="22"/>
      <c r="G21" s="22"/>
      <c r="H21" s="22"/>
      <c r="I21" s="22"/>
      <c r="J21" s="22"/>
      <c r="K21" s="22"/>
      <c r="L21" s="34"/>
      <c r="M21" s="22"/>
      <c r="N21" s="22"/>
      <c r="O21" s="4"/>
      <c r="P21" s="4"/>
      <c r="Q21" s="22"/>
      <c r="R21" s="35"/>
      <c r="S21" s="32"/>
      <c r="T21" s="63"/>
      <c r="AX21" s="166"/>
    </row>
    <row r="22" spans="2:53" ht="24" thickBot="1" x14ac:dyDescent="0.6">
      <c r="B22" s="63"/>
      <c r="D22" s="237" t="s">
        <v>58</v>
      </c>
      <c r="E22" s="22"/>
      <c r="F22" s="33">
        <f>'Datablad nye'!D37</f>
        <v>84.430078385982739</v>
      </c>
      <c r="G22" s="22"/>
      <c r="H22" s="243">
        <v>0.46</v>
      </c>
      <c r="I22" s="22"/>
      <c r="J22" s="33">
        <f>'Datablad nye'!D48</f>
        <v>93.045392507001367</v>
      </c>
      <c r="K22" s="32"/>
      <c r="L22" s="29">
        <v>6.5000000000000002E-2</v>
      </c>
      <c r="M22" s="28">
        <v>0.02</v>
      </c>
      <c r="N22" s="28">
        <f>SUM(L22:M22)</f>
        <v>8.5000000000000006E-2</v>
      </c>
      <c r="O22" s="33">
        <f>AX22</f>
        <v>93.556630927369525</v>
      </c>
      <c r="P22" s="4"/>
      <c r="Q22" s="1">
        <v>85</v>
      </c>
      <c r="R22" s="31">
        <f>BA22</f>
        <v>65.034527836137769</v>
      </c>
      <c r="S22" s="32"/>
      <c r="T22" s="63"/>
      <c r="AT22" s="39" t="s">
        <v>58</v>
      </c>
      <c r="AU22" s="164">
        <f>'Datablad nye'!C37</f>
        <v>89723</v>
      </c>
      <c r="AV22" s="165">
        <f>H22+(100%-H22)*N22</f>
        <v>0.50590000000000002</v>
      </c>
      <c r="AW22" s="22">
        <f t="shared" ref="AW22" si="8">AU22-(AU22*AV22)</f>
        <v>44332.134299999998</v>
      </c>
      <c r="AX22" s="32">
        <f>AW22*100/AW$12</f>
        <v>93.556630927369525</v>
      </c>
      <c r="AY22" s="164">
        <f>AY$12*Q22/100</f>
        <v>57539.350050000001</v>
      </c>
      <c r="AZ22" s="41">
        <f t="shared" ref="AZ22" si="9">AY22-AW22</f>
        <v>13207.215750000003</v>
      </c>
      <c r="BA22" s="166">
        <f>AZ22*100/AZ$12</f>
        <v>65.034527836137769</v>
      </c>
    </row>
    <row r="23" spans="2:53" ht="7.5" customHeight="1" x14ac:dyDescent="0.55000000000000004">
      <c r="B23" s="63"/>
      <c r="E23" s="22"/>
      <c r="F23" s="22"/>
      <c r="G23" s="22"/>
      <c r="H23" s="22"/>
      <c r="I23" s="22"/>
      <c r="J23" s="22"/>
      <c r="K23" s="22"/>
      <c r="L23" s="34"/>
      <c r="M23" s="22"/>
      <c r="N23" s="22"/>
      <c r="O23" s="4"/>
      <c r="P23" s="4"/>
      <c r="Q23" s="22"/>
      <c r="R23" s="35"/>
      <c r="S23" s="32"/>
      <c r="T23" s="63"/>
      <c r="AX23" s="166"/>
    </row>
    <row r="24" spans="2:53" ht="23.5" x14ac:dyDescent="0.55000000000000004">
      <c r="B24" s="63"/>
      <c r="D24" s="37" t="s">
        <v>57</v>
      </c>
      <c r="E24" s="22"/>
      <c r="F24" s="167" t="str">
        <f>'Datablad nye'!D36</f>
        <v>N/A</v>
      </c>
      <c r="G24" s="22"/>
      <c r="H24" s="243" t="s">
        <v>182</v>
      </c>
      <c r="I24" s="22"/>
      <c r="J24" s="167">
        <f>'Datablad nye'!D47</f>
        <v>66.676622562050113</v>
      </c>
      <c r="K24" s="32"/>
      <c r="L24" s="29">
        <v>0.08</v>
      </c>
      <c r="M24" s="28">
        <v>0.01</v>
      </c>
      <c r="N24" s="28">
        <f>SUM(L24:M24)</f>
        <v>0.09</v>
      </c>
      <c r="O24" s="167">
        <f>AX24</f>
        <v>66.700000000000017</v>
      </c>
      <c r="P24" s="4"/>
      <c r="Q24" s="1">
        <v>75</v>
      </c>
      <c r="R24" s="31">
        <f>BA24</f>
        <v>94.366666666666632</v>
      </c>
      <c r="S24" s="32"/>
      <c r="T24" s="63"/>
      <c r="AT24" s="37" t="s">
        <v>57</v>
      </c>
      <c r="AU24" s="164" t="s">
        <v>79</v>
      </c>
      <c r="AV24" s="165" t="s">
        <v>79</v>
      </c>
      <c r="AW24" s="164">
        <f>('Datablad nye'!C47)-('Datablad nye'!C47)*N24</f>
        <v>31606.026515700007</v>
      </c>
      <c r="AX24" s="32">
        <f>AW24*100/AW$12</f>
        <v>66.700000000000017</v>
      </c>
      <c r="AY24" s="164">
        <f>AY$12*Q24/100</f>
        <v>50770.014750000002</v>
      </c>
      <c r="AZ24" s="41">
        <f t="shared" ref="AZ24" si="10">AY24-AW24</f>
        <v>19163.988234299995</v>
      </c>
      <c r="BA24" s="166">
        <f>AZ24*100/AZ$12</f>
        <v>94.366666666666632</v>
      </c>
    </row>
    <row r="25" spans="2:53" ht="7.5" customHeight="1" thickBot="1" x14ac:dyDescent="0.6">
      <c r="B25" s="63"/>
      <c r="E25" s="22"/>
      <c r="F25" s="22"/>
      <c r="G25" s="22"/>
      <c r="H25" s="22"/>
      <c r="I25" s="22"/>
      <c r="J25" s="22"/>
      <c r="K25" s="22"/>
      <c r="L25" s="34"/>
      <c r="M25" s="22"/>
      <c r="N25" s="22"/>
      <c r="O25" s="4"/>
      <c r="P25" s="4"/>
      <c r="Q25" s="22"/>
      <c r="R25" s="35"/>
      <c r="S25" s="32"/>
      <c r="T25" s="63"/>
      <c r="AX25" s="166"/>
    </row>
    <row r="26" spans="2:53" ht="24" thickBot="1" x14ac:dyDescent="0.6">
      <c r="B26" s="63"/>
      <c r="D26" s="237" t="s">
        <v>38</v>
      </c>
      <c r="E26" s="22"/>
      <c r="F26" s="33">
        <f>'Datablad nye'!D34</f>
        <v>88.716370719588966</v>
      </c>
      <c r="G26" s="22"/>
      <c r="H26" s="243">
        <v>0.46</v>
      </c>
      <c r="I26" s="22"/>
      <c r="J26" s="33">
        <f>'Datablad nye'!D45</f>
        <v>97.769061609342941</v>
      </c>
      <c r="K26" s="32"/>
      <c r="L26" s="29">
        <v>6.5000000000000002E-2</v>
      </c>
      <c r="M26" s="28">
        <v>0.02</v>
      </c>
      <c r="N26" s="28">
        <f>SUM(L26:M26)</f>
        <v>8.5000000000000006E-2</v>
      </c>
      <c r="O26" s="33">
        <f>AX26</f>
        <v>98.30625425554814</v>
      </c>
      <c r="P26" s="4"/>
      <c r="Q26" s="1">
        <v>85</v>
      </c>
      <c r="R26" s="31">
        <f>BA26</f>
        <v>53.952073403721037</v>
      </c>
      <c r="S26" s="32"/>
      <c r="T26" s="63"/>
      <c r="AT26" s="39" t="s">
        <v>38</v>
      </c>
      <c r="AU26" s="164">
        <f>'Datablad nye'!C34</f>
        <v>94278</v>
      </c>
      <c r="AV26" s="165">
        <f>H26+(100%-H26)*N26</f>
        <v>0.50590000000000002</v>
      </c>
      <c r="AW26" s="22">
        <f t="shared" ref="AW26" si="11">AU26-(AU26*AV26)</f>
        <v>46582.7598</v>
      </c>
      <c r="AX26" s="32">
        <f>AW26*100/AW$12</f>
        <v>98.30625425554814</v>
      </c>
      <c r="AY26" s="164">
        <f>AY$12*Q26/100</f>
        <v>57539.350050000001</v>
      </c>
      <c r="AZ26" s="41">
        <f t="shared" ref="AZ26" si="12">AY26-AW26</f>
        <v>10956.590250000001</v>
      </c>
      <c r="BA26" s="166">
        <f>AZ26*100/AZ$12</f>
        <v>53.952073403721037</v>
      </c>
    </row>
    <row r="27" spans="2:53" ht="23.5" x14ac:dyDescent="0.55000000000000004">
      <c r="B27" s="63"/>
      <c r="D27" s="15"/>
      <c r="E27" s="22"/>
      <c r="F27" s="22"/>
      <c r="G27" s="22"/>
      <c r="H27" s="22"/>
      <c r="I27" s="22"/>
      <c r="J27" s="32"/>
      <c r="K27" s="32"/>
      <c r="N27" s="40"/>
      <c r="O27" s="32"/>
      <c r="P27" s="4"/>
      <c r="Q27" s="22"/>
      <c r="R27" s="35"/>
      <c r="S27" s="32"/>
      <c r="T27" s="63"/>
      <c r="AT27" s="164"/>
      <c r="AU27" s="164"/>
      <c r="AV27" s="165"/>
      <c r="AW27" s="22"/>
      <c r="AX27" s="22"/>
      <c r="AZ27" s="41"/>
      <c r="BA27" s="166"/>
    </row>
    <row r="28" spans="2:53" x14ac:dyDescent="0.3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2:53" ht="23.5" x14ac:dyDescent="0.55000000000000004">
      <c r="E29" s="22"/>
      <c r="F29" s="22"/>
      <c r="G29" s="22"/>
      <c r="H29" s="22"/>
      <c r="I29" s="22"/>
      <c r="J29" s="4"/>
      <c r="K29" s="4"/>
      <c r="L29" s="4"/>
      <c r="M29" s="4"/>
      <c r="N29" s="4"/>
      <c r="O29" s="4"/>
      <c r="P29" s="4"/>
      <c r="Q29" s="4"/>
      <c r="R29" s="4"/>
    </row>
    <row r="30" spans="2:53" ht="23.5" x14ac:dyDescent="0.55000000000000004">
      <c r="E30" s="3"/>
      <c r="F30" s="167" t="s">
        <v>303</v>
      </c>
      <c r="G30" s="3"/>
      <c r="H30" s="269" t="s">
        <v>307</v>
      </c>
      <c r="I30" s="3"/>
      <c r="J30" s="35"/>
      <c r="K30" s="3"/>
      <c r="L30" s="45" t="s">
        <v>33</v>
      </c>
      <c r="M30" s="30"/>
      <c r="N30" s="30"/>
    </row>
    <row r="31" spans="2:53" ht="23.5" x14ac:dyDescent="0.55000000000000004">
      <c r="E31" s="3"/>
      <c r="F31" s="3"/>
      <c r="G31" s="3"/>
      <c r="H31" s="269" t="s">
        <v>306</v>
      </c>
      <c r="I31" s="3"/>
      <c r="J31" s="35"/>
      <c r="K31" s="3"/>
      <c r="L31" s="45" t="s">
        <v>30</v>
      </c>
      <c r="M31" s="30"/>
      <c r="N31" s="30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B0346-CC96-48B3-B88A-D1FB9C038E78}">
  <sheetPr>
    <pageSetUpPr fitToPage="1"/>
  </sheetPr>
  <dimension ref="B1:BG26"/>
  <sheetViews>
    <sheetView zoomScale="60" zoomScaleNormal="60" workbookViewId="0">
      <selection activeCell="R17" sqref="R17"/>
    </sheetView>
  </sheetViews>
  <sheetFormatPr baseColWidth="10" defaultRowHeight="14.5" x14ac:dyDescent="0.35"/>
  <cols>
    <col min="1" max="1" width="1.453125" customWidth="1"/>
    <col min="2" max="2" width="1.54296875" customWidth="1"/>
    <col min="3" max="3" width="2.1796875" customWidth="1"/>
    <col min="4" max="4" width="31.08984375" customWidth="1"/>
    <col min="5" max="5" width="3.26953125" customWidth="1"/>
    <col min="6" max="6" width="24.54296875" customWidth="1"/>
    <col min="7" max="7" width="3.26953125" customWidth="1"/>
    <col min="8" max="8" width="22.26953125" customWidth="1"/>
    <col min="9" max="9" width="3.26953125" customWidth="1"/>
    <col min="10" max="10" width="24" customWidth="1"/>
    <col min="11" max="11" width="2.453125" customWidth="1"/>
    <col min="12" max="12" width="19.26953125" customWidth="1"/>
    <col min="13" max="14" width="20.81640625" customWidth="1"/>
    <col min="15" max="15" width="15.54296875" customWidth="1"/>
    <col min="16" max="16" width="2.453125" customWidth="1"/>
    <col min="17" max="17" width="15.54296875" customWidth="1"/>
    <col min="18" max="18" width="23.81640625" customWidth="1"/>
    <col min="19" max="19" width="1.26953125" customWidth="1"/>
    <col min="20" max="20" width="2.1796875" customWidth="1"/>
    <col min="30" max="32" width="11.453125" customWidth="1"/>
    <col min="33" max="45" width="10.54296875" customWidth="1"/>
    <col min="46" max="46" width="26.81640625" customWidth="1"/>
    <col min="47" max="49" width="18" customWidth="1"/>
    <col min="50" max="51" width="24.08984375" customWidth="1"/>
    <col min="54" max="54" width="14.81640625" customWidth="1"/>
    <col min="55" max="56" width="11.453125" customWidth="1"/>
  </cols>
  <sheetData>
    <row r="1" spans="2:59" ht="15" thickBot="1" x14ac:dyDescent="0.4">
      <c r="E1" s="3"/>
      <c r="F1" s="3"/>
      <c r="G1" s="3"/>
      <c r="H1" s="3"/>
      <c r="I1" s="3"/>
    </row>
    <row r="2" spans="2:59" ht="23.5" x14ac:dyDescent="0.55000000000000004">
      <c r="E2" s="3"/>
      <c r="F2" s="3"/>
      <c r="G2" s="3"/>
      <c r="H2" s="55" t="s">
        <v>152</v>
      </c>
      <c r="I2" s="56"/>
      <c r="J2" s="56"/>
      <c r="K2" s="56"/>
      <c r="L2" s="57"/>
      <c r="M2" s="58"/>
    </row>
    <row r="3" spans="2:59" ht="24" thickBot="1" x14ac:dyDescent="0.6">
      <c r="E3" s="3"/>
      <c r="F3" s="3"/>
      <c r="G3" s="3"/>
      <c r="H3" s="59" t="s">
        <v>260</v>
      </c>
      <c r="I3" s="60"/>
      <c r="J3" s="61"/>
      <c r="K3" s="61"/>
      <c r="L3" s="60"/>
      <c r="M3" s="62"/>
    </row>
    <row r="4" spans="2:59" x14ac:dyDescent="0.35"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59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59" x14ac:dyDescent="0.35"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59" x14ac:dyDescent="0.35">
      <c r="E7" s="3"/>
      <c r="F7" s="3"/>
      <c r="G7" s="3"/>
      <c r="H7" s="3"/>
      <c r="I7" s="3"/>
      <c r="O7" s="21"/>
    </row>
    <row r="8" spans="2:59" x14ac:dyDescent="0.3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59" ht="24" thickBot="1" x14ac:dyDescent="0.6">
      <c r="B9" s="63"/>
      <c r="D9" s="15"/>
      <c r="E9" s="22"/>
      <c r="F9" s="22"/>
      <c r="G9" s="22"/>
      <c r="H9" s="22"/>
      <c r="I9" s="22"/>
      <c r="J9" s="32"/>
      <c r="K9" s="32"/>
      <c r="N9" s="40"/>
      <c r="O9" s="32"/>
      <c r="P9" s="4"/>
      <c r="Q9" s="22"/>
      <c r="R9" s="35"/>
      <c r="S9" s="32"/>
      <c r="T9" s="63"/>
    </row>
    <row r="10" spans="2:59" ht="23.5" x14ac:dyDescent="0.55000000000000004">
      <c r="B10" s="63"/>
      <c r="D10" s="15"/>
      <c r="E10" s="22"/>
      <c r="F10" s="23" t="s">
        <v>64</v>
      </c>
      <c r="G10" s="22"/>
      <c r="H10" s="23" t="s">
        <v>156</v>
      </c>
      <c r="I10" s="22"/>
      <c r="J10" s="23" t="s">
        <v>206</v>
      </c>
      <c r="K10" s="22"/>
      <c r="L10" s="24" t="s">
        <v>22</v>
      </c>
      <c r="M10" s="23" t="s">
        <v>23</v>
      </c>
      <c r="N10" s="23" t="s">
        <v>24</v>
      </c>
      <c r="O10" s="23" t="s">
        <v>25</v>
      </c>
      <c r="P10" s="4"/>
      <c r="Q10" s="24" t="s">
        <v>26</v>
      </c>
      <c r="R10" s="23" t="s">
        <v>27</v>
      </c>
      <c r="S10" s="32"/>
      <c r="T10" s="63"/>
      <c r="BB10" t="s">
        <v>159</v>
      </c>
    </row>
    <row r="11" spans="2:59" ht="24" thickBot="1" x14ac:dyDescent="0.6">
      <c r="B11" s="63"/>
      <c r="D11" s="15"/>
      <c r="E11" s="22"/>
      <c r="F11" s="25" t="s">
        <v>28</v>
      </c>
      <c r="G11" s="22"/>
      <c r="H11" s="25" t="s">
        <v>254</v>
      </c>
      <c r="I11" s="22"/>
      <c r="J11" s="25" t="s">
        <v>28</v>
      </c>
      <c r="K11" s="22"/>
      <c r="L11" s="26" t="s">
        <v>29</v>
      </c>
      <c r="M11" s="25" t="s">
        <v>18</v>
      </c>
      <c r="N11" s="25">
        <v>2023</v>
      </c>
      <c r="O11" s="25" t="s">
        <v>28</v>
      </c>
      <c r="P11" s="4"/>
      <c r="Q11" s="26" t="s">
        <v>28</v>
      </c>
      <c r="R11" s="25" t="s">
        <v>153</v>
      </c>
      <c r="S11" s="32"/>
      <c r="T11" s="63"/>
      <c r="AU11" t="s">
        <v>154</v>
      </c>
      <c r="AV11" t="s">
        <v>206</v>
      </c>
      <c r="AW11" t="s">
        <v>248</v>
      </c>
      <c r="AX11" t="s">
        <v>155</v>
      </c>
      <c r="AZ11" t="s">
        <v>32</v>
      </c>
      <c r="BA11" t="s">
        <v>157</v>
      </c>
      <c r="BB11" t="s">
        <v>158</v>
      </c>
      <c r="BC11" t="s">
        <v>160</v>
      </c>
      <c r="BD11" t="s">
        <v>161</v>
      </c>
    </row>
    <row r="12" spans="2:59" ht="24" thickBot="1" x14ac:dyDescent="0.6">
      <c r="B12" s="63"/>
      <c r="D12" s="15"/>
      <c r="E12" s="22"/>
      <c r="F12" s="22"/>
      <c r="G12" s="22"/>
      <c r="H12" s="22"/>
      <c r="I12" s="22"/>
      <c r="J12" s="32"/>
      <c r="K12" s="32"/>
      <c r="N12" s="40"/>
      <c r="O12" s="32"/>
      <c r="P12" s="4"/>
      <c r="Q12" s="22"/>
      <c r="R12" s="35"/>
      <c r="S12" s="32"/>
      <c r="T12" s="63"/>
      <c r="AU12" s="164"/>
      <c r="AV12" s="164"/>
      <c r="AW12" s="164"/>
      <c r="AX12" s="165"/>
      <c r="AY12" s="165"/>
      <c r="AZ12" s="22"/>
      <c r="BA12" s="22"/>
      <c r="BB12" s="164"/>
      <c r="BC12" s="41"/>
      <c r="BD12" s="166"/>
      <c r="BF12" t="s">
        <v>235</v>
      </c>
      <c r="BG12" t="s">
        <v>232</v>
      </c>
    </row>
    <row r="13" spans="2:59" ht="24" thickBot="1" x14ac:dyDescent="0.6">
      <c r="B13" s="63"/>
      <c r="D13" s="234" t="s">
        <v>201</v>
      </c>
      <c r="E13" s="22"/>
      <c r="F13" s="240">
        <f>'Datablad regum'!D22</f>
        <v>100</v>
      </c>
      <c r="G13" s="22"/>
      <c r="H13" s="243">
        <f>Rabatter!D37</f>
        <v>0.42799999999999999</v>
      </c>
      <c r="I13" s="22"/>
      <c r="J13" s="240">
        <f>AW13</f>
        <v>100</v>
      </c>
      <c r="K13" s="32"/>
      <c r="L13" s="29">
        <v>0.1</v>
      </c>
      <c r="M13" s="28">
        <v>0</v>
      </c>
      <c r="N13" s="28">
        <f>SUM(L13:M13)</f>
        <v>0.1</v>
      </c>
      <c r="O13" s="33">
        <v>100</v>
      </c>
      <c r="P13" s="4"/>
      <c r="Q13" s="242">
        <v>100</v>
      </c>
      <c r="R13" s="232">
        <v>100</v>
      </c>
      <c r="S13" s="32"/>
      <c r="T13" s="63"/>
      <c r="AT13" s="27" t="s">
        <v>201</v>
      </c>
      <c r="AU13" s="164">
        <f>'Datablad regum'!C22</f>
        <v>34725</v>
      </c>
      <c r="AV13" s="164">
        <f>AU13-(AU13*H13)</f>
        <v>19862.7</v>
      </c>
      <c r="AW13" s="164">
        <v>100</v>
      </c>
      <c r="AX13" s="165">
        <f>H13+(100%-H13)*N13</f>
        <v>0.48520000000000002</v>
      </c>
      <c r="AY13" s="165"/>
      <c r="AZ13" s="22">
        <f>AU13-(AU13*AX13)</f>
        <v>17876.43</v>
      </c>
      <c r="BA13" s="22">
        <v>100</v>
      </c>
      <c r="BB13" s="164">
        <f>AZ13*10/7</f>
        <v>25537.757142857143</v>
      </c>
      <c r="BC13" s="41">
        <f>BB13-AZ13</f>
        <v>7661.3271428571425</v>
      </c>
      <c r="BD13" s="166">
        <v>100</v>
      </c>
      <c r="BF13" s="166">
        <f>F13-(F13*H13)</f>
        <v>57.2</v>
      </c>
      <c r="BG13" s="166">
        <v>100</v>
      </c>
    </row>
    <row r="14" spans="2:59" ht="7.5" customHeight="1" x14ac:dyDescent="0.55000000000000004">
      <c r="B14" s="63"/>
      <c r="E14" s="22"/>
      <c r="F14" s="241"/>
      <c r="G14" s="22"/>
      <c r="H14" s="22"/>
      <c r="I14" s="22"/>
      <c r="J14" s="241"/>
      <c r="K14" s="22"/>
      <c r="L14" s="34"/>
      <c r="M14" s="22"/>
      <c r="N14" s="22"/>
      <c r="O14" s="4"/>
      <c r="P14" s="4"/>
      <c r="Q14" s="22"/>
      <c r="R14" s="35"/>
      <c r="S14" s="32"/>
      <c r="T14" s="63"/>
      <c r="AZ14" s="22"/>
    </row>
    <row r="15" spans="2:59" ht="23.5" x14ac:dyDescent="0.55000000000000004">
      <c r="B15" s="63"/>
      <c r="D15" s="37" t="s">
        <v>202</v>
      </c>
      <c r="E15" s="22"/>
      <c r="F15" s="240">
        <f>'Datablad regum'!D24</f>
        <v>116.60187185025197</v>
      </c>
      <c r="G15" s="22"/>
      <c r="H15" s="244">
        <v>0.49</v>
      </c>
      <c r="I15" s="22"/>
      <c r="J15" s="240">
        <f>AW15</f>
        <v>103.96320741893096</v>
      </c>
      <c r="K15" s="32"/>
      <c r="L15" s="29">
        <v>0.09</v>
      </c>
      <c r="M15" s="28">
        <v>0</v>
      </c>
      <c r="N15" s="28">
        <f>SUM(L15:M15)</f>
        <v>0.09</v>
      </c>
      <c r="O15" s="33">
        <f>BA15</f>
        <v>105.11835416803018</v>
      </c>
      <c r="P15" s="4"/>
      <c r="Q15" s="1">
        <v>100</v>
      </c>
      <c r="R15" s="31">
        <f>BD15</f>
        <v>88.057173607929514</v>
      </c>
      <c r="S15" s="32"/>
      <c r="T15" s="63"/>
      <c r="AT15" s="37" t="s">
        <v>202</v>
      </c>
      <c r="AU15" s="164">
        <f>'Datablad regum'!C24</f>
        <v>40490</v>
      </c>
      <c r="AV15" s="164">
        <f>AU15-(AU15*H15)</f>
        <v>20649.900000000001</v>
      </c>
      <c r="AW15" s="164">
        <f>AV15*100/AV$13</f>
        <v>103.96320741893096</v>
      </c>
      <c r="AX15" s="165">
        <f>H15+(100%-H15)*N15</f>
        <v>0.53590000000000004</v>
      </c>
      <c r="AY15" s="165"/>
      <c r="AZ15" s="22">
        <f t="shared" ref="AZ15" si="0">AU15-(AU15*AX15)</f>
        <v>18791.409</v>
      </c>
      <c r="BA15" s="22">
        <f>AZ15*100/AZ$13</f>
        <v>105.11835416803018</v>
      </c>
      <c r="BB15" s="164">
        <f>BB$13*Q15/100</f>
        <v>25537.757142857139</v>
      </c>
      <c r="BC15" s="41">
        <f>BB15-AZ15</f>
        <v>6746.3481428571395</v>
      </c>
      <c r="BD15" s="166">
        <f>BC15*100/BC$13</f>
        <v>88.057173607929514</v>
      </c>
      <c r="BF15" s="166">
        <f>F15-(F15*H15)</f>
        <v>59.466954643628505</v>
      </c>
      <c r="BG15" s="166">
        <f>(BF15/BF$13)*100</f>
        <v>103.96320741893095</v>
      </c>
    </row>
    <row r="16" spans="2:59" ht="7.5" customHeight="1" thickBot="1" x14ac:dyDescent="0.6">
      <c r="B16" s="63"/>
      <c r="E16" s="22"/>
      <c r="F16" s="241"/>
      <c r="G16" s="22"/>
      <c r="H16" s="22"/>
      <c r="I16" s="22"/>
      <c r="J16" s="241"/>
      <c r="K16" s="22"/>
      <c r="L16" s="34"/>
      <c r="M16" s="22"/>
      <c r="N16" s="22"/>
      <c r="O16" s="4"/>
      <c r="P16" s="4"/>
      <c r="Q16" s="22"/>
      <c r="R16" s="35"/>
      <c r="S16" s="32"/>
      <c r="T16" s="63"/>
      <c r="AZ16" s="22"/>
    </row>
    <row r="17" spans="2:59" ht="24" thickBot="1" x14ac:dyDescent="0.6">
      <c r="B17" s="63"/>
      <c r="D17" s="235" t="s">
        <v>203</v>
      </c>
      <c r="E17" s="22"/>
      <c r="F17" s="240">
        <f>'Datablad regum'!D23</f>
        <v>167.38660907127431</v>
      </c>
      <c r="G17" s="22"/>
      <c r="H17" s="269">
        <v>0.44</v>
      </c>
      <c r="I17" s="22"/>
      <c r="J17" s="240">
        <f>AW17</f>
        <v>163.87500188796085</v>
      </c>
      <c r="K17" s="32"/>
      <c r="L17" s="29">
        <v>0.09</v>
      </c>
      <c r="M17" s="28">
        <v>0</v>
      </c>
      <c r="N17" s="28">
        <f>SUM(L17:M17)</f>
        <v>0.09</v>
      </c>
      <c r="O17" s="33">
        <f>BA17</f>
        <v>165.69583524227153</v>
      </c>
      <c r="P17" s="4"/>
      <c r="Q17" s="1">
        <v>130</v>
      </c>
      <c r="R17" s="31">
        <f>BD17</f>
        <v>46.709717768033101</v>
      </c>
      <c r="S17" s="32"/>
      <c r="T17" s="63"/>
      <c r="AT17" s="106" t="s">
        <v>203</v>
      </c>
      <c r="AU17" s="164">
        <f>'Datablad regum'!C23</f>
        <v>58125</v>
      </c>
      <c r="AV17" s="164">
        <f>AU17-(AU17*H17)</f>
        <v>32550</v>
      </c>
      <c r="AW17" s="164">
        <f>AV17*100/AV$13</f>
        <v>163.87500188796085</v>
      </c>
      <c r="AX17" s="165">
        <f>H17+(100%-H17)*N17</f>
        <v>0.4904</v>
      </c>
      <c r="AY17" s="165"/>
      <c r="AZ17" s="22">
        <f>AU17-(AU17*AX17)</f>
        <v>29620.5</v>
      </c>
      <c r="BA17" s="22">
        <f>AZ17*100/AZ$13</f>
        <v>165.69583524227153</v>
      </c>
      <c r="BB17" s="164">
        <f>BB$13*Q17/100</f>
        <v>33199.084285714285</v>
      </c>
      <c r="BC17" s="41">
        <f>BB17-AZ17</f>
        <v>3578.5842857142852</v>
      </c>
      <c r="BD17" s="166">
        <f>BC17*100/BC$13</f>
        <v>46.709717768033101</v>
      </c>
      <c r="BF17" s="166">
        <f>F17-(F17*H17)</f>
        <v>93.736501079913609</v>
      </c>
      <c r="BG17" s="166">
        <f>(BF17/BF$13)*100</f>
        <v>163.87500188796085</v>
      </c>
    </row>
    <row r="18" spans="2:59" ht="7.5" customHeight="1" thickBot="1" x14ac:dyDescent="0.6">
      <c r="B18" s="63"/>
      <c r="E18" s="22"/>
      <c r="F18" s="241"/>
      <c r="G18" s="22"/>
      <c r="H18" s="22"/>
      <c r="I18" s="22"/>
      <c r="J18" s="241"/>
      <c r="K18" s="22"/>
      <c r="L18" s="34"/>
      <c r="M18" s="22"/>
      <c r="N18" s="22"/>
      <c r="O18" s="4"/>
      <c r="P18" s="4"/>
      <c r="Q18" s="22"/>
      <c r="R18" s="35"/>
      <c r="S18" s="32"/>
      <c r="T18" s="63"/>
      <c r="AZ18" s="22"/>
    </row>
    <row r="19" spans="2:59" ht="24" thickBot="1" x14ac:dyDescent="0.6">
      <c r="B19" s="63"/>
      <c r="D19" s="233" t="s">
        <v>204</v>
      </c>
      <c r="E19" s="22"/>
      <c r="F19" s="240" t="s">
        <v>182</v>
      </c>
      <c r="G19" s="22"/>
      <c r="H19" s="244" t="s">
        <v>85</v>
      </c>
      <c r="I19" s="22"/>
      <c r="J19" s="240">
        <f>'Datablad regum'!D33</f>
        <v>94.146314448690262</v>
      </c>
      <c r="K19" s="32"/>
      <c r="L19" s="29">
        <v>0.09</v>
      </c>
      <c r="M19" s="28">
        <v>0</v>
      </c>
      <c r="N19" s="28">
        <f>SUM(L19:M19)</f>
        <v>0.09</v>
      </c>
      <c r="O19" s="33">
        <f>BA19</f>
        <v>95.192384609231254</v>
      </c>
      <c r="P19" s="4"/>
      <c r="Q19" s="1">
        <v>100</v>
      </c>
      <c r="R19" s="31">
        <f>BD19</f>
        <v>111.217769245127</v>
      </c>
      <c r="S19" s="32"/>
      <c r="T19" s="63"/>
      <c r="AT19" s="191" t="s">
        <v>204</v>
      </c>
      <c r="AU19" s="164">
        <v>0</v>
      </c>
      <c r="AV19" s="164">
        <v>0</v>
      </c>
      <c r="AW19" s="164">
        <f>'Datablad regum'!D33</f>
        <v>94.146314448690262</v>
      </c>
      <c r="AX19" s="165" t="s">
        <v>85</v>
      </c>
      <c r="AY19" s="165"/>
      <c r="AZ19" s="164">
        <f>('Datablad regum'!S19)-('Datablad regum'!S19)*N19</f>
        <v>17017</v>
      </c>
      <c r="BA19" s="22">
        <f>AZ19*100/AZ$13</f>
        <v>95.192384609231254</v>
      </c>
      <c r="BB19" s="164">
        <f>BB$13*Q19/100</f>
        <v>25537.757142857139</v>
      </c>
      <c r="BC19" s="41">
        <f>BB19-AZ19</f>
        <v>8520.7571428571391</v>
      </c>
      <c r="BD19" s="166">
        <f>BC19*100/BC$13</f>
        <v>111.217769245127</v>
      </c>
      <c r="BF19" s="166"/>
      <c r="BG19" s="166"/>
    </row>
    <row r="20" spans="2:59" ht="7.5" customHeight="1" thickBot="1" x14ac:dyDescent="0.6">
      <c r="B20" s="63"/>
      <c r="E20" s="22"/>
      <c r="F20" s="241"/>
      <c r="G20" s="22"/>
      <c r="H20" s="22"/>
      <c r="I20" s="22"/>
      <c r="J20" s="241"/>
      <c r="K20" s="22"/>
      <c r="L20" s="34"/>
      <c r="M20" s="22"/>
      <c r="N20" s="22"/>
      <c r="O20" s="4"/>
      <c r="P20" s="4"/>
      <c r="Q20" s="22"/>
      <c r="R20" s="35"/>
      <c r="S20" s="32"/>
      <c r="T20" s="63"/>
      <c r="AZ20" s="22"/>
    </row>
    <row r="21" spans="2:59" ht="24" thickBot="1" x14ac:dyDescent="0.6">
      <c r="B21" s="63"/>
      <c r="D21" s="238" t="s">
        <v>247</v>
      </c>
      <c r="E21" s="22"/>
      <c r="F21" s="240">
        <f>'Datablad regum'!D26</f>
        <v>149.42836573074155</v>
      </c>
      <c r="G21" s="22"/>
      <c r="H21" s="244">
        <v>0.55000000000000004</v>
      </c>
      <c r="I21" s="22"/>
      <c r="J21" s="240">
        <f>AW21</f>
        <v>117.55728073222673</v>
      </c>
      <c r="K21" s="32"/>
      <c r="L21" s="29">
        <v>7.0000000000000007E-2</v>
      </c>
      <c r="M21" s="28">
        <v>0.02</v>
      </c>
      <c r="N21" s="28">
        <f>SUM(L21:M21)</f>
        <v>9.0000000000000011E-2</v>
      </c>
      <c r="O21" s="33">
        <f>BA21</f>
        <v>118.86347274036258</v>
      </c>
      <c r="P21" s="4"/>
      <c r="Q21" s="1">
        <v>110</v>
      </c>
      <c r="R21" s="31">
        <f>BD21</f>
        <v>89.318563605820628</v>
      </c>
      <c r="S21" s="32"/>
      <c r="T21" s="63"/>
      <c r="AT21" s="239" t="s">
        <v>1</v>
      </c>
      <c r="AU21" s="164">
        <f>'Datablad regum'!C26</f>
        <v>51889</v>
      </c>
      <c r="AV21" s="164">
        <f>AU21-(AU21*H21)</f>
        <v>23350.05</v>
      </c>
      <c r="AW21" s="164">
        <f>AV21*100/AV$13</f>
        <v>117.55728073222673</v>
      </c>
      <c r="AX21" s="165">
        <f>H21+(100%-H21)*N21</f>
        <v>0.59050000000000002</v>
      </c>
      <c r="AY21" s="165"/>
      <c r="AZ21" s="22">
        <f t="shared" ref="AZ21" si="1">AU21-(AU21*AX21)</f>
        <v>21248.5455</v>
      </c>
      <c r="BA21" s="22">
        <f>AZ21*100/AZ$13</f>
        <v>118.86347274036258</v>
      </c>
      <c r="BB21" s="164">
        <f>BB$13*Q21/100</f>
        <v>28091.532857142858</v>
      </c>
      <c r="BC21" s="41">
        <f>BB21-AZ21</f>
        <v>6842.9873571428579</v>
      </c>
      <c r="BD21" s="166">
        <f>BC21*100/BC$13</f>
        <v>89.318563605820628</v>
      </c>
      <c r="BF21" s="166">
        <f>F21-(F21*H21)</f>
        <v>67.242764578833686</v>
      </c>
      <c r="BG21" s="166">
        <f>(BF21/BF$13)*100</f>
        <v>117.55728073222672</v>
      </c>
    </row>
    <row r="22" spans="2:59" ht="23.5" x14ac:dyDescent="0.55000000000000004">
      <c r="B22" s="63"/>
      <c r="D22" s="15"/>
      <c r="E22" s="22"/>
      <c r="F22" s="22"/>
      <c r="G22" s="22"/>
      <c r="H22" s="22"/>
      <c r="I22" s="22"/>
      <c r="J22" s="32"/>
      <c r="K22" s="32"/>
      <c r="N22" s="40"/>
      <c r="O22" s="32"/>
      <c r="P22" s="4"/>
      <c r="Q22" s="22"/>
      <c r="R22" s="35"/>
      <c r="S22" s="32"/>
      <c r="T22" s="63"/>
      <c r="AT22" s="32"/>
      <c r="AU22" s="32"/>
      <c r="AV22" s="32"/>
      <c r="AW22" s="32"/>
      <c r="AZ22" s="22"/>
    </row>
    <row r="23" spans="2:59" x14ac:dyDescent="0.3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spans="2:59" ht="23.5" x14ac:dyDescent="0.55000000000000004">
      <c r="E24" s="22"/>
      <c r="F24" s="22"/>
      <c r="G24" s="22"/>
      <c r="H24" s="22"/>
      <c r="I24" s="22"/>
      <c r="J24" s="4"/>
      <c r="K24" s="4"/>
      <c r="L24" s="4"/>
      <c r="M24" s="4"/>
      <c r="N24" s="4"/>
      <c r="O24" s="4"/>
      <c r="P24" s="4"/>
      <c r="Q24" s="4"/>
      <c r="R24" s="4"/>
    </row>
    <row r="25" spans="2:59" ht="23.5" x14ac:dyDescent="0.55000000000000004">
      <c r="E25" s="3"/>
      <c r="F25" s="3"/>
      <c r="G25" s="3"/>
      <c r="H25" s="269" t="s">
        <v>307</v>
      </c>
      <c r="I25" s="3"/>
      <c r="J25" s="35"/>
      <c r="K25" s="3"/>
      <c r="L25" s="45" t="s">
        <v>33</v>
      </c>
      <c r="M25" s="30"/>
      <c r="N25" s="30"/>
    </row>
    <row r="26" spans="2:59" ht="23.5" x14ac:dyDescent="0.55000000000000004">
      <c r="E26" s="3"/>
      <c r="F26" s="3"/>
      <c r="G26" s="3"/>
      <c r="H26" s="269" t="s">
        <v>306</v>
      </c>
      <c r="I26" s="3"/>
      <c r="J26" s="35"/>
      <c r="K26" s="3"/>
      <c r="L26" s="45" t="s">
        <v>30</v>
      </c>
      <c r="M26" s="30"/>
      <c r="N26" s="30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topLeftCell="A6" workbookViewId="0">
      <selection activeCell="G61" sqref="G61"/>
    </sheetView>
  </sheetViews>
  <sheetFormatPr baseColWidth="10" defaultRowHeight="14.5" x14ac:dyDescent="0.35"/>
  <cols>
    <col min="1" max="1" width="29.54296875" customWidth="1"/>
    <col min="2" max="2" width="24.81640625" customWidth="1"/>
    <col min="3" max="3" width="2.54296875" customWidth="1"/>
    <col min="4" max="4" width="30.54296875" customWidth="1"/>
    <col min="5" max="5" width="20.81640625" customWidth="1"/>
    <col min="6" max="6" width="3" customWidth="1"/>
    <col min="7" max="7" width="30.453125" customWidth="1"/>
    <col min="8" max="8" width="20.81640625" customWidth="1"/>
    <col min="9" max="9" width="2.453125" customWidth="1"/>
    <col min="10" max="10" width="24" customWidth="1"/>
    <col min="11" max="11" width="10.1796875" customWidth="1"/>
  </cols>
  <sheetData>
    <row r="1" spans="1:10" ht="33.5" x14ac:dyDescent="0.75">
      <c r="A1" s="5" t="s">
        <v>257</v>
      </c>
    </row>
    <row r="2" spans="1:10" ht="33.5" x14ac:dyDescent="0.75">
      <c r="A2" s="5"/>
    </row>
    <row r="4" spans="1:10" x14ac:dyDescent="0.35">
      <c r="J4" s="66"/>
    </row>
    <row r="5" spans="1:10" ht="15" thickBot="1" x14ac:dyDescent="0.4"/>
    <row r="6" spans="1:10" ht="24" thickBot="1" x14ac:dyDescent="0.6">
      <c r="A6" s="16" t="s">
        <v>148</v>
      </c>
      <c r="B6" s="17"/>
      <c r="D6" s="18" t="s">
        <v>134</v>
      </c>
      <c r="E6" s="19"/>
      <c r="G6" s="73" t="s">
        <v>135</v>
      </c>
      <c r="H6" s="74"/>
    </row>
    <row r="7" spans="1:10" x14ac:dyDescent="0.35">
      <c r="A7" s="69"/>
      <c r="B7" s="70"/>
      <c r="D7" s="69"/>
      <c r="E7" s="70"/>
      <c r="G7" s="107"/>
      <c r="H7" s="108"/>
    </row>
    <row r="8" spans="1:10" x14ac:dyDescent="0.35">
      <c r="A8" s="10" t="s">
        <v>261</v>
      </c>
      <c r="B8" s="75">
        <v>0.05</v>
      </c>
      <c r="D8" s="10" t="s">
        <v>136</v>
      </c>
      <c r="E8" s="75">
        <v>0.05</v>
      </c>
      <c r="G8" s="10" t="s">
        <v>109</v>
      </c>
      <c r="H8" s="75">
        <v>0.05</v>
      </c>
    </row>
    <row r="9" spans="1:10" x14ac:dyDescent="0.35">
      <c r="A9" s="10" t="s">
        <v>262</v>
      </c>
      <c r="B9" s="75">
        <v>0.06</v>
      </c>
      <c r="D9" s="10" t="s">
        <v>267</v>
      </c>
      <c r="E9" s="75">
        <v>0.06</v>
      </c>
      <c r="G9" s="10" t="s">
        <v>53</v>
      </c>
      <c r="H9" s="75">
        <v>5.5E-2</v>
      </c>
    </row>
    <row r="10" spans="1:10" x14ac:dyDescent="0.35">
      <c r="A10" s="10" t="s">
        <v>263</v>
      </c>
      <c r="B10" s="75">
        <v>7.0000000000000007E-2</v>
      </c>
      <c r="D10" s="10" t="s">
        <v>131</v>
      </c>
      <c r="E10" s="75">
        <v>7.0000000000000007E-2</v>
      </c>
      <c r="G10" s="10" t="s">
        <v>19</v>
      </c>
      <c r="H10" s="75">
        <v>0.06</v>
      </c>
    </row>
    <row r="11" spans="1:10" x14ac:dyDescent="0.35">
      <c r="A11" s="10" t="s">
        <v>264</v>
      </c>
      <c r="B11" s="75">
        <v>7.4999999999999997E-2</v>
      </c>
      <c r="D11" s="10"/>
      <c r="E11" s="75"/>
      <c r="G11" s="10" t="s">
        <v>113</v>
      </c>
      <c r="H11" s="75">
        <v>6.5000000000000002E-2</v>
      </c>
    </row>
    <row r="12" spans="1:10" x14ac:dyDescent="0.35">
      <c r="A12" s="10" t="s">
        <v>110</v>
      </c>
      <c r="B12" s="75">
        <v>0.08</v>
      </c>
      <c r="D12" s="10"/>
      <c r="E12" s="75"/>
      <c r="G12" s="10" t="s">
        <v>115</v>
      </c>
      <c r="H12" s="75">
        <v>7.0000000000000007E-2</v>
      </c>
    </row>
    <row r="13" spans="1:10" x14ac:dyDescent="0.35">
      <c r="A13" s="10" t="s">
        <v>111</v>
      </c>
      <c r="B13" s="75">
        <v>8.5000000000000006E-2</v>
      </c>
      <c r="D13" s="10"/>
      <c r="E13" s="75"/>
      <c r="G13" s="10" t="s">
        <v>116</v>
      </c>
      <c r="H13" s="75">
        <v>0.08</v>
      </c>
    </row>
    <row r="14" spans="1:10" ht="15" thickBot="1" x14ac:dyDescent="0.4">
      <c r="A14" s="10" t="s">
        <v>114</v>
      </c>
      <c r="B14" s="75">
        <v>0.09</v>
      </c>
      <c r="D14" s="10"/>
      <c r="E14" s="75"/>
      <c r="G14" s="207" t="s">
        <v>20</v>
      </c>
      <c r="H14" s="258">
        <v>0.09</v>
      </c>
    </row>
    <row r="15" spans="1:10" x14ac:dyDescent="0.35">
      <c r="A15" s="10" t="s">
        <v>265</v>
      </c>
      <c r="B15" s="75">
        <v>9.5000000000000001E-2</v>
      </c>
      <c r="D15" s="10"/>
      <c r="E15" s="75"/>
    </row>
    <row r="16" spans="1:10" ht="15" thickBot="1" x14ac:dyDescent="0.4">
      <c r="A16" s="207" t="s">
        <v>266</v>
      </c>
      <c r="B16" s="258">
        <v>0.1</v>
      </c>
      <c r="D16" s="207"/>
      <c r="E16" s="258"/>
      <c r="H16" s="98"/>
    </row>
    <row r="17" spans="1:8" x14ac:dyDescent="0.35">
      <c r="E17" s="98"/>
    </row>
    <row r="18" spans="1:8" x14ac:dyDescent="0.35">
      <c r="A18" s="66"/>
      <c r="D18" s="148" t="s">
        <v>269</v>
      </c>
      <c r="E18" s="72"/>
      <c r="G18" s="148" t="s">
        <v>149</v>
      </c>
      <c r="H18" s="72"/>
    </row>
    <row r="19" spans="1:8" x14ac:dyDescent="0.35">
      <c r="B19" s="98"/>
      <c r="D19" s="10" t="s">
        <v>137</v>
      </c>
      <c r="E19" s="75">
        <v>7.4999999999999997E-3</v>
      </c>
      <c r="G19" s="10" t="s">
        <v>268</v>
      </c>
      <c r="H19" s="75">
        <v>5.0000000000000001E-3</v>
      </c>
    </row>
    <row r="20" spans="1:8" x14ac:dyDescent="0.35">
      <c r="B20" s="98"/>
      <c r="D20" s="10" t="s">
        <v>138</v>
      </c>
      <c r="E20" s="75">
        <v>0.01</v>
      </c>
      <c r="G20" s="10" t="s">
        <v>119</v>
      </c>
      <c r="H20" s="75">
        <v>0.01</v>
      </c>
    </row>
    <row r="21" spans="1:8" x14ac:dyDescent="0.35">
      <c r="B21" s="98"/>
      <c r="D21" s="10" t="s">
        <v>139</v>
      </c>
      <c r="E21" s="75">
        <v>0.02</v>
      </c>
      <c r="G21" s="10" t="s">
        <v>120</v>
      </c>
      <c r="H21" s="75">
        <v>1.4999999999999999E-2</v>
      </c>
    </row>
    <row r="22" spans="1:8" x14ac:dyDescent="0.35">
      <c r="B22" s="98"/>
      <c r="D22" s="81" t="s">
        <v>140</v>
      </c>
      <c r="E22" s="105">
        <v>2.5000000000000001E-2</v>
      </c>
      <c r="G22" s="10" t="s">
        <v>121</v>
      </c>
      <c r="H22" s="75">
        <v>0.02</v>
      </c>
    </row>
    <row r="23" spans="1:8" x14ac:dyDescent="0.35">
      <c r="B23" s="98"/>
      <c r="D23" s="81" t="s">
        <v>147</v>
      </c>
      <c r="E23" s="105">
        <v>0.03</v>
      </c>
      <c r="G23" s="10" t="s">
        <v>122</v>
      </c>
      <c r="H23" s="75">
        <v>2.5000000000000001E-2</v>
      </c>
    </row>
    <row r="24" spans="1:8" x14ac:dyDescent="0.35">
      <c r="B24" s="98"/>
      <c r="D24" s="81" t="s">
        <v>118</v>
      </c>
      <c r="E24" s="105">
        <v>3.5000000000000003E-2</v>
      </c>
      <c r="G24" s="10" t="s">
        <v>123</v>
      </c>
      <c r="H24" s="75">
        <v>0.03</v>
      </c>
    </row>
    <row r="25" spans="1:8" x14ac:dyDescent="0.35">
      <c r="B25" s="98"/>
      <c r="G25" s="10" t="s">
        <v>124</v>
      </c>
      <c r="H25" s="75">
        <v>3.5000000000000003E-2</v>
      </c>
    </row>
    <row r="26" spans="1:8" ht="15" thickBot="1" x14ac:dyDescent="0.4">
      <c r="B26" s="98"/>
      <c r="G26" s="245"/>
      <c r="H26" s="246"/>
    </row>
    <row r="27" spans="1:8" ht="15" thickBot="1" x14ac:dyDescent="0.4">
      <c r="D27" s="151" t="s">
        <v>282</v>
      </c>
      <c r="E27" s="152"/>
      <c r="G27" s="79" t="s">
        <v>126</v>
      </c>
      <c r="H27" s="149"/>
    </row>
    <row r="28" spans="1:8" ht="15" thickBot="1" x14ac:dyDescent="0.4">
      <c r="B28" s="98"/>
      <c r="D28" s="66"/>
      <c r="E28" s="99"/>
      <c r="G28" s="153" t="s">
        <v>281</v>
      </c>
      <c r="H28" s="154"/>
    </row>
    <row r="29" spans="1:8" ht="15" thickBot="1" x14ac:dyDescent="0.4">
      <c r="A29" s="66"/>
      <c r="B29" s="66"/>
    </row>
    <row r="30" spans="1:8" ht="15" thickBot="1" x14ac:dyDescent="0.4">
      <c r="A30" s="79" t="s">
        <v>21</v>
      </c>
      <c r="B30" s="80">
        <v>0.1</v>
      </c>
      <c r="D30" s="79" t="s">
        <v>21</v>
      </c>
      <c r="E30" s="80">
        <v>0.105</v>
      </c>
      <c r="G30" s="79" t="s">
        <v>125</v>
      </c>
      <c r="H30" s="80">
        <v>0.125</v>
      </c>
    </row>
    <row r="31" spans="1:8" ht="15" thickBot="1" x14ac:dyDescent="0.4"/>
    <row r="32" spans="1:8" ht="24" thickBot="1" x14ac:dyDescent="0.6">
      <c r="A32" s="132" t="s">
        <v>133</v>
      </c>
      <c r="B32" s="20"/>
      <c r="D32" s="155" t="s">
        <v>162</v>
      </c>
      <c r="E32" s="156"/>
      <c r="G32" s="76" t="s">
        <v>150</v>
      </c>
      <c r="H32" s="77"/>
    </row>
    <row r="33" spans="1:8" x14ac:dyDescent="0.35">
      <c r="A33" s="69"/>
      <c r="B33" s="70"/>
      <c r="D33" s="107"/>
      <c r="E33" s="108"/>
      <c r="G33" s="69"/>
      <c r="H33" s="70"/>
    </row>
    <row r="34" spans="1:8" x14ac:dyDescent="0.35">
      <c r="A34" s="10" t="s">
        <v>127</v>
      </c>
      <c r="B34" s="75">
        <v>0.05</v>
      </c>
      <c r="D34" s="10" t="s">
        <v>52</v>
      </c>
      <c r="E34" s="75">
        <v>0.05</v>
      </c>
      <c r="G34" s="10" t="s">
        <v>52</v>
      </c>
      <c r="H34" s="75">
        <v>0.05</v>
      </c>
    </row>
    <row r="35" spans="1:8" x14ac:dyDescent="0.35">
      <c r="A35" s="10" t="s">
        <v>51</v>
      </c>
      <c r="B35" s="75">
        <f>B34+0.5%</f>
        <v>5.5E-2</v>
      </c>
      <c r="D35" s="10" t="s">
        <v>51</v>
      </c>
      <c r="E35" s="75">
        <v>0.06</v>
      </c>
      <c r="G35" s="10" t="s">
        <v>51</v>
      </c>
      <c r="H35" s="75">
        <v>0.06</v>
      </c>
    </row>
    <row r="36" spans="1:8" x14ac:dyDescent="0.35">
      <c r="A36" s="10" t="s">
        <v>19</v>
      </c>
      <c r="B36" s="75">
        <f>B35+0.5%</f>
        <v>0.06</v>
      </c>
      <c r="D36" s="10" t="s">
        <v>19</v>
      </c>
      <c r="E36" s="75">
        <v>7.0000000000000007E-2</v>
      </c>
      <c r="G36" s="10" t="s">
        <v>19</v>
      </c>
      <c r="H36" s="75">
        <v>7.0000000000000007E-2</v>
      </c>
    </row>
    <row r="37" spans="1:8" x14ac:dyDescent="0.35">
      <c r="A37" s="10" t="s">
        <v>113</v>
      </c>
      <c r="B37" s="75">
        <f>B36+0.5%</f>
        <v>6.5000000000000002E-2</v>
      </c>
      <c r="D37" s="10" t="s">
        <v>112</v>
      </c>
      <c r="E37" s="75">
        <v>0.08</v>
      </c>
      <c r="G37" s="10" t="s">
        <v>112</v>
      </c>
      <c r="H37" s="75">
        <v>0.08</v>
      </c>
    </row>
    <row r="38" spans="1:8" ht="15" thickBot="1" x14ac:dyDescent="0.4">
      <c r="A38" s="10" t="s">
        <v>115</v>
      </c>
      <c r="B38" s="75">
        <f>B37+0.5%</f>
        <v>7.0000000000000007E-2</v>
      </c>
      <c r="D38" s="251" t="s">
        <v>113</v>
      </c>
      <c r="E38" s="252">
        <v>0.09</v>
      </c>
      <c r="G38" s="10" t="s">
        <v>113</v>
      </c>
      <c r="H38" s="75">
        <v>0.09</v>
      </c>
    </row>
    <row r="39" spans="1:8" x14ac:dyDescent="0.35">
      <c r="A39" s="10" t="s">
        <v>116</v>
      </c>
      <c r="B39" s="75">
        <f>B38+0.5%</f>
        <v>7.5000000000000011E-2</v>
      </c>
      <c r="D39" s="107"/>
      <c r="E39" s="108"/>
      <c r="G39" s="69"/>
      <c r="H39" s="250"/>
    </row>
    <row r="40" spans="1:8" x14ac:dyDescent="0.35">
      <c r="A40" s="69"/>
      <c r="B40" s="70"/>
      <c r="D40" s="69"/>
      <c r="E40" s="70"/>
      <c r="G40" s="69"/>
      <c r="H40" s="250"/>
    </row>
    <row r="41" spans="1:8" x14ac:dyDescent="0.35">
      <c r="A41" s="69"/>
      <c r="B41" s="70"/>
      <c r="D41" s="69"/>
      <c r="E41" s="70"/>
      <c r="G41" s="69"/>
      <c r="H41" s="250"/>
    </row>
    <row r="42" spans="1:8" x14ac:dyDescent="0.35">
      <c r="A42" s="148" t="s">
        <v>117</v>
      </c>
      <c r="B42" s="72"/>
      <c r="D42" s="162"/>
      <c r="E42" s="159"/>
      <c r="G42" s="162"/>
      <c r="H42" s="159"/>
    </row>
    <row r="43" spans="1:8" x14ac:dyDescent="0.35">
      <c r="A43" s="10" t="s">
        <v>141</v>
      </c>
      <c r="B43" s="75">
        <v>0.01</v>
      </c>
      <c r="D43" s="69"/>
      <c r="E43" s="159"/>
      <c r="G43" s="69"/>
      <c r="H43" s="250"/>
    </row>
    <row r="44" spans="1:8" x14ac:dyDescent="0.35">
      <c r="A44" s="10" t="s">
        <v>142</v>
      </c>
      <c r="B44" s="75">
        <v>0.02</v>
      </c>
      <c r="D44" s="69"/>
      <c r="E44" s="70"/>
      <c r="G44" s="69"/>
      <c r="H44" s="250"/>
    </row>
    <row r="45" spans="1:8" x14ac:dyDescent="0.35">
      <c r="A45" s="10" t="s">
        <v>143</v>
      </c>
      <c r="B45" s="75">
        <v>2.5000000000000001E-2</v>
      </c>
      <c r="D45" s="69"/>
      <c r="E45" s="250"/>
      <c r="G45" s="69"/>
      <c r="H45" s="250"/>
    </row>
    <row r="46" spans="1:8" x14ac:dyDescent="0.35">
      <c r="A46" s="10" t="s">
        <v>144</v>
      </c>
      <c r="B46" s="75">
        <v>0.03</v>
      </c>
      <c r="D46" s="69"/>
      <c r="E46" s="250"/>
      <c r="G46" s="69"/>
      <c r="H46" s="250"/>
    </row>
    <row r="47" spans="1:8" x14ac:dyDescent="0.35">
      <c r="A47" s="10" t="s">
        <v>145</v>
      </c>
      <c r="B47" s="75">
        <v>3.5000000000000003E-2</v>
      </c>
      <c r="D47" s="69"/>
      <c r="E47" s="250"/>
      <c r="G47" s="69"/>
      <c r="H47" s="250"/>
    </row>
    <row r="48" spans="1:8" ht="15" thickBot="1" x14ac:dyDescent="0.4">
      <c r="A48" s="10" t="s">
        <v>146</v>
      </c>
      <c r="B48" s="75">
        <v>0.04</v>
      </c>
      <c r="D48" s="69"/>
      <c r="E48" s="250"/>
      <c r="G48" s="69"/>
      <c r="H48" s="250"/>
    </row>
    <row r="49" spans="1:8" ht="15" thickBot="1" x14ac:dyDescent="0.4">
      <c r="A49" s="69"/>
      <c r="B49" s="70"/>
      <c r="D49" s="247" t="s">
        <v>271</v>
      </c>
      <c r="E49" s="248"/>
      <c r="G49" s="69"/>
      <c r="H49" s="70"/>
    </row>
    <row r="50" spans="1:8" ht="15" thickBot="1" x14ac:dyDescent="0.4">
      <c r="A50" s="151" t="s">
        <v>270</v>
      </c>
      <c r="B50" s="152"/>
      <c r="D50" s="150" t="s">
        <v>129</v>
      </c>
      <c r="E50" s="249"/>
      <c r="G50" s="79" t="s">
        <v>283</v>
      </c>
      <c r="H50" s="254"/>
    </row>
    <row r="51" spans="1:8" ht="15" thickBot="1" x14ac:dyDescent="0.4">
      <c r="A51" s="69"/>
      <c r="B51" s="159"/>
      <c r="G51" s="69"/>
      <c r="H51" s="70"/>
    </row>
    <row r="52" spans="1:8" ht="15" thickBot="1" x14ac:dyDescent="0.4">
      <c r="A52" s="79" t="s">
        <v>125</v>
      </c>
      <c r="B52" s="80">
        <v>0.115</v>
      </c>
      <c r="D52" s="79" t="s">
        <v>125</v>
      </c>
      <c r="E52" s="80">
        <v>0.09</v>
      </c>
      <c r="G52" s="79" t="s">
        <v>125</v>
      </c>
      <c r="H52" s="80">
        <v>0.09</v>
      </c>
    </row>
    <row r="53" spans="1:8" x14ac:dyDescent="0.35">
      <c r="B53" s="98"/>
    </row>
    <row r="54" spans="1:8" ht="15" thickBot="1" x14ac:dyDescent="0.4"/>
    <row r="55" spans="1:8" ht="26.5" thickBot="1" x14ac:dyDescent="0.65">
      <c r="A55" s="160" t="s">
        <v>163</v>
      </c>
      <c r="B55" s="161"/>
      <c r="D55" s="227" t="s">
        <v>202</v>
      </c>
      <c r="E55" s="228"/>
      <c r="G55" s="229" t="s">
        <v>201</v>
      </c>
      <c r="H55" s="230"/>
    </row>
    <row r="56" spans="1:8" x14ac:dyDescent="0.35">
      <c r="A56" s="10"/>
      <c r="B56" s="75"/>
      <c r="D56" s="201"/>
      <c r="E56" s="255"/>
    </row>
    <row r="57" spans="1:8" x14ac:dyDescent="0.35">
      <c r="A57" s="10" t="s">
        <v>272</v>
      </c>
      <c r="B57" s="75">
        <v>0.05</v>
      </c>
      <c r="D57" s="10" t="s">
        <v>130</v>
      </c>
      <c r="E57" s="71">
        <v>0.05</v>
      </c>
      <c r="G57" s="81" t="s">
        <v>130</v>
      </c>
      <c r="H57" s="82">
        <v>0.05</v>
      </c>
    </row>
    <row r="58" spans="1:8" x14ac:dyDescent="0.35">
      <c r="A58" s="10" t="s">
        <v>273</v>
      </c>
      <c r="B58" s="75">
        <v>0.06</v>
      </c>
      <c r="D58" s="10" t="s">
        <v>236</v>
      </c>
      <c r="E58" s="71">
        <v>0.06</v>
      </c>
      <c r="G58" s="81" t="s">
        <v>236</v>
      </c>
      <c r="H58" s="82">
        <v>0.06</v>
      </c>
    </row>
    <row r="59" spans="1:8" x14ac:dyDescent="0.35">
      <c r="A59" s="10" t="s">
        <v>274</v>
      </c>
      <c r="B59" s="75">
        <v>7.0000000000000007E-2</v>
      </c>
      <c r="D59" s="10" t="s">
        <v>237</v>
      </c>
      <c r="E59" s="71">
        <v>7.0000000000000007E-2</v>
      </c>
      <c r="G59" s="81" t="s">
        <v>237</v>
      </c>
      <c r="H59" s="82">
        <v>7.0000000000000007E-2</v>
      </c>
    </row>
    <row r="60" spans="1:8" x14ac:dyDescent="0.35">
      <c r="A60" s="10" t="s">
        <v>275</v>
      </c>
      <c r="B60" s="75">
        <v>7.4999999999999997E-2</v>
      </c>
      <c r="D60" s="10" t="s">
        <v>238</v>
      </c>
      <c r="E60" s="71">
        <v>0.08</v>
      </c>
      <c r="G60" s="81" t="s">
        <v>238</v>
      </c>
      <c r="H60" s="82">
        <v>0.08</v>
      </c>
    </row>
    <row r="61" spans="1:8" x14ac:dyDescent="0.35">
      <c r="A61" s="10" t="s">
        <v>276</v>
      </c>
      <c r="B61" s="75">
        <v>0.08</v>
      </c>
      <c r="D61" s="10" t="s">
        <v>239</v>
      </c>
      <c r="E61" s="71">
        <v>0.09</v>
      </c>
      <c r="G61" s="81" t="s">
        <v>113</v>
      </c>
      <c r="H61" s="82">
        <v>0.1</v>
      </c>
    </row>
    <row r="62" spans="1:8" x14ac:dyDescent="0.35">
      <c r="A62" s="10" t="s">
        <v>277</v>
      </c>
      <c r="B62" s="75">
        <v>8.5000000000000006E-2</v>
      </c>
      <c r="D62" s="10" t="s">
        <v>128</v>
      </c>
      <c r="E62" s="71">
        <v>0.1</v>
      </c>
    </row>
    <row r="63" spans="1:8" x14ac:dyDescent="0.35">
      <c r="A63" s="10" t="s">
        <v>278</v>
      </c>
      <c r="B63" s="75">
        <v>0.09</v>
      </c>
      <c r="D63" s="69"/>
      <c r="E63" s="70"/>
    </row>
    <row r="64" spans="1:8" x14ac:dyDescent="0.35">
      <c r="A64" s="10" t="s">
        <v>279</v>
      </c>
      <c r="B64" s="75">
        <v>9.5000000000000001E-2</v>
      </c>
      <c r="D64" s="256" t="s">
        <v>117</v>
      </c>
      <c r="E64" s="257"/>
    </row>
    <row r="65" spans="1:8" x14ac:dyDescent="0.35">
      <c r="A65" s="10"/>
      <c r="B65" s="71"/>
      <c r="D65" s="10"/>
      <c r="E65" s="158"/>
    </row>
    <row r="66" spans="1:8" x14ac:dyDescent="0.35">
      <c r="A66" s="10"/>
      <c r="B66" s="71"/>
      <c r="D66" s="10" t="s">
        <v>240</v>
      </c>
      <c r="E66" s="71">
        <v>0.01</v>
      </c>
    </row>
    <row r="67" spans="1:8" ht="15" thickBot="1" x14ac:dyDescent="0.4">
      <c r="A67" s="251"/>
      <c r="B67" s="253"/>
      <c r="D67" s="10" t="s">
        <v>241</v>
      </c>
      <c r="E67" s="71">
        <v>0.02</v>
      </c>
    </row>
    <row r="68" spans="1:8" ht="15" thickBot="1" x14ac:dyDescent="0.4">
      <c r="A68" s="79" t="s">
        <v>283</v>
      </c>
      <c r="B68" s="254"/>
      <c r="D68" s="10" t="s">
        <v>242</v>
      </c>
      <c r="E68" s="71">
        <v>0.03</v>
      </c>
    </row>
    <row r="69" spans="1:8" x14ac:dyDescent="0.35">
      <c r="A69" s="162"/>
      <c r="B69" s="70"/>
      <c r="D69" s="69"/>
      <c r="E69" s="70"/>
    </row>
    <row r="70" spans="1:8" x14ac:dyDescent="0.35">
      <c r="A70" s="148" t="s">
        <v>117</v>
      </c>
      <c r="B70" s="157"/>
      <c r="D70" s="69"/>
      <c r="E70" s="70"/>
    </row>
    <row r="71" spans="1:8" x14ac:dyDescent="0.35">
      <c r="A71" s="10" t="s">
        <v>132</v>
      </c>
      <c r="B71" s="75">
        <v>0.01</v>
      </c>
      <c r="D71" s="69"/>
      <c r="E71" s="70"/>
    </row>
    <row r="72" spans="1:8" ht="15" thickBot="1" x14ac:dyDescent="0.4">
      <c r="A72" s="251"/>
      <c r="B72" s="252"/>
      <c r="D72" s="69"/>
      <c r="E72" s="70"/>
    </row>
    <row r="73" spans="1:8" ht="15" thickBot="1" x14ac:dyDescent="0.4">
      <c r="A73" s="79" t="s">
        <v>280</v>
      </c>
      <c r="B73" s="80" t="s">
        <v>284</v>
      </c>
      <c r="D73" s="79" t="s">
        <v>280</v>
      </c>
      <c r="E73" s="80">
        <v>0.13</v>
      </c>
      <c r="G73" s="79" t="s">
        <v>280</v>
      </c>
      <c r="H73" s="80">
        <v>0.1</v>
      </c>
    </row>
  </sheetData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8B02-9B54-48D1-AB7E-F134B7D2089B}">
  <sheetPr>
    <pageSetUpPr fitToPage="1"/>
  </sheetPr>
  <dimension ref="A1:S58"/>
  <sheetViews>
    <sheetView zoomScale="90" zoomScaleNormal="90" workbookViewId="0">
      <selection activeCell="C56" sqref="C56"/>
    </sheetView>
  </sheetViews>
  <sheetFormatPr baseColWidth="10" defaultRowHeight="14.5" x14ac:dyDescent="0.35"/>
  <cols>
    <col min="1" max="1" width="23.7265625" customWidth="1"/>
    <col min="2" max="2" width="8.81640625" customWidth="1"/>
    <col min="3" max="3" width="17.1796875" customWidth="1"/>
    <col min="4" max="4" width="11.81640625" customWidth="1"/>
    <col min="5" max="5" width="2.453125" customWidth="1"/>
    <col min="6" max="6" width="29.54296875" customWidth="1"/>
    <col min="8" max="8" width="13.54296875" customWidth="1"/>
    <col min="9" max="9" width="26.1796875" customWidth="1"/>
    <col min="10" max="10" width="2.54296875" customWidth="1"/>
    <col min="11" max="11" width="14" customWidth="1"/>
    <col min="13" max="13" width="14.90625" customWidth="1"/>
    <col min="14" max="14" width="14.453125" customWidth="1"/>
    <col min="15" max="15" width="2.54296875" customWidth="1"/>
    <col min="16" max="16" width="16" customWidth="1"/>
    <col min="18" max="18" width="23.1796875" customWidth="1"/>
    <col min="19" max="19" width="13.54296875" customWidth="1"/>
    <col min="22" max="22" width="14" customWidth="1"/>
    <col min="24" max="24" width="2.453125" customWidth="1"/>
    <col min="27" max="27" width="11.54296875" customWidth="1"/>
  </cols>
  <sheetData>
    <row r="1" spans="1:19" ht="33.5" x14ac:dyDescent="0.75">
      <c r="A1" s="5" t="s">
        <v>258</v>
      </c>
    </row>
    <row r="3" spans="1:19" x14ac:dyDescent="0.35">
      <c r="P3" s="66"/>
      <c r="Q3" s="116"/>
    </row>
    <row r="4" spans="1:19" ht="15" thickBot="1" x14ac:dyDescent="0.4"/>
    <row r="5" spans="1:19" ht="24" thickBot="1" x14ac:dyDescent="0.6">
      <c r="A5" s="16" t="s">
        <v>90</v>
      </c>
      <c r="B5" s="117"/>
      <c r="C5" s="117"/>
      <c r="D5" s="17"/>
      <c r="F5" s="18" t="s">
        <v>91</v>
      </c>
      <c r="G5" s="118"/>
      <c r="H5" s="118"/>
      <c r="I5" s="19"/>
      <c r="K5" s="119" t="s">
        <v>92</v>
      </c>
      <c r="L5" s="119"/>
      <c r="M5" s="119"/>
      <c r="N5" s="119"/>
      <c r="P5" s="120" t="s">
        <v>93</v>
      </c>
      <c r="Q5" s="120"/>
      <c r="R5" s="120"/>
      <c r="S5" s="120"/>
    </row>
    <row r="7" spans="1:19" x14ac:dyDescent="0.35">
      <c r="A7" s="81" t="s">
        <v>18</v>
      </c>
      <c r="B7" s="114" t="s">
        <v>94</v>
      </c>
      <c r="C7" s="114" t="s">
        <v>95</v>
      </c>
      <c r="D7" s="114" t="s">
        <v>96</v>
      </c>
      <c r="F7" s="81" t="s">
        <v>18</v>
      </c>
      <c r="G7" s="114" t="s">
        <v>94</v>
      </c>
      <c r="H7" s="114" t="s">
        <v>95</v>
      </c>
      <c r="I7" s="114" t="s">
        <v>96</v>
      </c>
      <c r="K7" s="81" t="s">
        <v>18</v>
      </c>
      <c r="L7" s="114" t="s">
        <v>94</v>
      </c>
      <c r="M7" s="114" t="s">
        <v>95</v>
      </c>
      <c r="N7" s="114" t="s">
        <v>96</v>
      </c>
      <c r="P7" s="81" t="s">
        <v>18</v>
      </c>
      <c r="Q7" s="114" t="s">
        <v>94</v>
      </c>
      <c r="R7" s="114" t="s">
        <v>95</v>
      </c>
      <c r="S7" s="114" t="s">
        <v>96</v>
      </c>
    </row>
    <row r="8" spans="1:19" x14ac:dyDescent="0.35">
      <c r="A8" s="81"/>
      <c r="B8" s="81"/>
      <c r="C8" s="81"/>
      <c r="D8" s="81"/>
      <c r="F8" s="81"/>
      <c r="G8" s="114"/>
      <c r="H8" s="114"/>
      <c r="I8" s="114"/>
      <c r="K8" s="81"/>
      <c r="L8" s="114"/>
      <c r="M8" s="114"/>
      <c r="N8" s="114"/>
      <c r="P8" s="81"/>
      <c r="Q8" s="114"/>
      <c r="R8" s="114"/>
      <c r="S8" s="114"/>
    </row>
    <row r="9" spans="1:19" x14ac:dyDescent="0.35">
      <c r="A9" s="81" t="s">
        <v>99</v>
      </c>
      <c r="B9" s="105">
        <v>0.33</v>
      </c>
      <c r="C9" s="183">
        <v>9.2999999999999999E-2</v>
      </c>
      <c r="D9" s="83">
        <f>B9+(100%-B9)*C9</f>
        <v>0.39230999999999999</v>
      </c>
      <c r="F9" s="81" t="s">
        <v>99</v>
      </c>
      <c r="G9" s="105">
        <v>0.42</v>
      </c>
      <c r="H9" s="105">
        <v>0.09</v>
      </c>
      <c r="I9" s="121">
        <f>SUM(G9:H9)</f>
        <v>0.51</v>
      </c>
      <c r="K9" s="81" t="s">
        <v>99</v>
      </c>
      <c r="L9" s="105">
        <v>0.42</v>
      </c>
      <c r="M9" s="105">
        <v>0.05</v>
      </c>
      <c r="N9" s="105">
        <f>SUM(L9:M9)</f>
        <v>0.47</v>
      </c>
      <c r="P9" s="81" t="s">
        <v>99</v>
      </c>
      <c r="Q9" s="105">
        <v>0.42</v>
      </c>
      <c r="R9" s="105" t="s">
        <v>182</v>
      </c>
      <c r="S9" s="83">
        <f>SUM(Q9:R9)</f>
        <v>0.42</v>
      </c>
    </row>
    <row r="10" spans="1:19" ht="15" thickBot="1" x14ac:dyDescent="0.4">
      <c r="G10" s="3"/>
      <c r="H10" s="3"/>
      <c r="I10" s="3"/>
    </row>
    <row r="11" spans="1:19" ht="16" thickBot="1" x14ac:dyDescent="0.4">
      <c r="A11" s="122" t="s">
        <v>101</v>
      </c>
      <c r="B11" s="123"/>
      <c r="C11" s="123"/>
      <c r="D11" s="184">
        <v>0.33</v>
      </c>
      <c r="E11" s="124"/>
      <c r="F11" s="125" t="s">
        <v>102</v>
      </c>
      <c r="G11" s="126"/>
      <c r="H11" s="126"/>
      <c r="I11" s="127">
        <v>0.51</v>
      </c>
      <c r="J11" s="124"/>
      <c r="K11" s="128" t="s">
        <v>103</v>
      </c>
      <c r="L11" s="128"/>
      <c r="M11" s="128"/>
      <c r="N11" s="129">
        <v>0.42</v>
      </c>
      <c r="O11" s="124"/>
      <c r="P11" s="130" t="s">
        <v>104</v>
      </c>
      <c r="Q11" s="130"/>
      <c r="R11" s="130"/>
      <c r="S11" s="131">
        <v>0.42</v>
      </c>
    </row>
    <row r="12" spans="1:19" x14ac:dyDescent="0.35">
      <c r="N12" s="3"/>
    </row>
    <row r="13" spans="1:19" x14ac:dyDescent="0.35">
      <c r="C13" s="183" t="s">
        <v>183</v>
      </c>
    </row>
    <row r="15" spans="1:19" ht="15" thickBot="1" x14ac:dyDescent="0.4"/>
    <row r="16" spans="1:19" ht="24" thickBot="1" x14ac:dyDescent="0.6">
      <c r="A16" s="132" t="s">
        <v>97</v>
      </c>
      <c r="B16" s="133"/>
      <c r="C16" s="133"/>
      <c r="D16" s="20"/>
      <c r="F16" s="78" t="s">
        <v>45</v>
      </c>
      <c r="G16" s="133"/>
      <c r="H16" s="133"/>
      <c r="I16" s="20"/>
      <c r="K16" s="134" t="s">
        <v>98</v>
      </c>
      <c r="L16" s="135"/>
      <c r="M16" s="135"/>
      <c r="N16" s="136"/>
      <c r="P16" s="120" t="s">
        <v>100</v>
      </c>
      <c r="Q16" s="120"/>
      <c r="R16" s="120"/>
      <c r="S16" s="120"/>
    </row>
    <row r="18" spans="1:19" x14ac:dyDescent="0.35">
      <c r="A18" s="81" t="s">
        <v>18</v>
      </c>
      <c r="B18" s="114" t="s">
        <v>94</v>
      </c>
      <c r="C18" s="114" t="s">
        <v>95</v>
      </c>
      <c r="D18" s="114" t="s">
        <v>96</v>
      </c>
      <c r="F18" s="81" t="s">
        <v>18</v>
      </c>
      <c r="G18" s="114" t="s">
        <v>94</v>
      </c>
      <c r="H18" s="114" t="s">
        <v>95</v>
      </c>
      <c r="I18" s="114" t="s">
        <v>96</v>
      </c>
      <c r="K18" s="81" t="s">
        <v>18</v>
      </c>
      <c r="L18" s="114" t="s">
        <v>94</v>
      </c>
      <c r="M18" s="114" t="s">
        <v>95</v>
      </c>
      <c r="N18" s="114" t="s">
        <v>96</v>
      </c>
      <c r="P18" s="81" t="s">
        <v>18</v>
      </c>
      <c r="Q18" s="114" t="s">
        <v>94</v>
      </c>
      <c r="R18" s="114" t="s">
        <v>95</v>
      </c>
      <c r="S18" s="114" t="s">
        <v>96</v>
      </c>
    </row>
    <row r="19" spans="1:19" x14ac:dyDescent="0.35">
      <c r="B19" s="82"/>
      <c r="C19" s="82"/>
      <c r="D19" s="105"/>
      <c r="F19" s="81"/>
      <c r="G19" s="82"/>
      <c r="H19" s="82"/>
      <c r="I19" s="105"/>
      <c r="K19" s="81"/>
      <c r="L19" s="114"/>
      <c r="M19" s="114"/>
      <c r="N19" s="114"/>
      <c r="P19" s="81"/>
      <c r="Q19" s="114"/>
      <c r="R19" s="114"/>
      <c r="S19" s="114"/>
    </row>
    <row r="20" spans="1:19" x14ac:dyDescent="0.35">
      <c r="A20" s="81" t="s">
        <v>99</v>
      </c>
      <c r="B20" s="105">
        <v>0.4</v>
      </c>
      <c r="C20" s="185">
        <v>0.1</v>
      </c>
      <c r="D20" s="83">
        <f>B20+(100%-B20)*C20</f>
        <v>0.46</v>
      </c>
      <c r="F20" s="81" t="s">
        <v>99</v>
      </c>
      <c r="G20" s="105">
        <v>0.42</v>
      </c>
      <c r="H20" s="266">
        <v>0.02</v>
      </c>
      <c r="I20" s="83">
        <f>SUM(G20:H20)</f>
        <v>0.44</v>
      </c>
      <c r="K20" s="81" t="s">
        <v>99</v>
      </c>
      <c r="L20" s="105">
        <v>0.51</v>
      </c>
      <c r="M20" s="105" t="s">
        <v>182</v>
      </c>
      <c r="N20" s="121">
        <f>SUM(L20:M20)</f>
        <v>0.51</v>
      </c>
      <c r="P20" s="81" t="s">
        <v>99</v>
      </c>
      <c r="Q20" s="105">
        <v>0.4</v>
      </c>
      <c r="R20" s="185">
        <v>0.1</v>
      </c>
      <c r="S20" s="83">
        <f>Q20+(100%-Q20)*R20</f>
        <v>0.46</v>
      </c>
    </row>
    <row r="21" spans="1:19" ht="15" thickBot="1" x14ac:dyDescent="0.4">
      <c r="I21" s="100"/>
    </row>
    <row r="22" spans="1:19" ht="16" thickBot="1" x14ac:dyDescent="0.4">
      <c r="A22" s="137" t="s">
        <v>105</v>
      </c>
      <c r="B22" s="138"/>
      <c r="C22" s="138"/>
      <c r="D22" s="139">
        <v>0.4</v>
      </c>
      <c r="F22" s="140" t="s">
        <v>106</v>
      </c>
      <c r="G22" s="141"/>
      <c r="H22" s="141"/>
      <c r="I22" s="142">
        <v>0.42</v>
      </c>
      <c r="K22" s="140" t="s">
        <v>107</v>
      </c>
      <c r="L22" s="141"/>
      <c r="M22" s="141"/>
      <c r="N22" s="143">
        <v>0.51</v>
      </c>
      <c r="P22" s="130" t="s">
        <v>108</v>
      </c>
      <c r="Q22" s="130"/>
      <c r="R22" s="130"/>
      <c r="S22" s="131">
        <v>0.4</v>
      </c>
    </row>
    <row r="23" spans="1:19" ht="15.5" x14ac:dyDescent="0.35">
      <c r="P23" s="144"/>
      <c r="Q23" s="145"/>
      <c r="R23" s="145"/>
      <c r="S23" s="146"/>
    </row>
    <row r="24" spans="1:19" ht="15.5" x14ac:dyDescent="0.35">
      <c r="C24" s="183" t="s">
        <v>183</v>
      </c>
      <c r="F24" s="263" t="s">
        <v>305</v>
      </c>
      <c r="G24" s="262"/>
      <c r="H24" s="262"/>
      <c r="I24" s="262"/>
      <c r="P24" s="144"/>
      <c r="Q24" s="145"/>
      <c r="R24" s="185" t="s">
        <v>183</v>
      </c>
      <c r="S24" s="146"/>
    </row>
    <row r="25" spans="1:19" ht="15.5" x14ac:dyDescent="0.35">
      <c r="P25" s="144"/>
      <c r="Q25" s="145"/>
      <c r="R25" s="145"/>
      <c r="S25" s="146"/>
    </row>
    <row r="26" spans="1:19" ht="15.5" x14ac:dyDescent="0.35">
      <c r="P26" s="144"/>
      <c r="Q26" s="145"/>
      <c r="R26" s="145"/>
      <c r="S26" s="146"/>
    </row>
    <row r="27" spans="1:19" x14ac:dyDescent="0.35">
      <c r="S27" s="147"/>
    </row>
    <row r="28" spans="1:19" ht="33.5" x14ac:dyDescent="0.75">
      <c r="A28" s="5" t="s">
        <v>285</v>
      </c>
      <c r="N28" s="98"/>
    </row>
    <row r="29" spans="1:19" ht="15" thickBot="1" x14ac:dyDescent="0.4"/>
    <row r="30" spans="1:19" ht="24" thickBot="1" x14ac:dyDescent="0.6">
      <c r="A30" s="18" t="s">
        <v>168</v>
      </c>
      <c r="B30" s="118"/>
      <c r="C30" s="118"/>
      <c r="D30" s="19"/>
      <c r="F30" s="134" t="s">
        <v>170</v>
      </c>
      <c r="G30" s="135"/>
      <c r="H30" s="135"/>
      <c r="I30" s="136"/>
      <c r="K30" s="171" t="s">
        <v>172</v>
      </c>
      <c r="L30" s="172"/>
      <c r="M30" s="172"/>
      <c r="N30" s="173"/>
      <c r="P30" s="177" t="s">
        <v>200</v>
      </c>
      <c r="Q30" s="178"/>
      <c r="R30" s="178"/>
      <c r="S30" s="179"/>
    </row>
    <row r="32" spans="1:19" x14ac:dyDescent="0.35">
      <c r="A32" s="81" t="s">
        <v>18</v>
      </c>
      <c r="B32" s="114" t="s">
        <v>94</v>
      </c>
      <c r="C32" s="114" t="s">
        <v>95</v>
      </c>
      <c r="D32" s="114" t="s">
        <v>96</v>
      </c>
      <c r="F32" s="81" t="s">
        <v>18</v>
      </c>
      <c r="G32" s="114" t="s">
        <v>94</v>
      </c>
      <c r="H32" s="114" t="s">
        <v>95</v>
      </c>
      <c r="I32" s="114" t="s">
        <v>96</v>
      </c>
      <c r="K32" s="81" t="s">
        <v>18</v>
      </c>
      <c r="L32" s="114" t="s">
        <v>94</v>
      </c>
      <c r="M32" s="114" t="s">
        <v>95</v>
      </c>
      <c r="N32" s="114" t="s">
        <v>96</v>
      </c>
      <c r="P32" s="81" t="s">
        <v>18</v>
      </c>
      <c r="Q32" s="114" t="s">
        <v>94</v>
      </c>
      <c r="R32" s="114" t="s">
        <v>95</v>
      </c>
      <c r="S32" s="114" t="s">
        <v>96</v>
      </c>
    </row>
    <row r="33" spans="1:19" x14ac:dyDescent="0.35">
      <c r="A33" s="81"/>
      <c r="B33" s="114"/>
      <c r="C33" s="114"/>
      <c r="D33" s="114"/>
      <c r="F33" s="81"/>
      <c r="G33" s="114"/>
      <c r="H33" s="114"/>
      <c r="I33" s="114"/>
      <c r="K33" s="81"/>
      <c r="L33" s="114"/>
      <c r="M33" s="114"/>
      <c r="N33" s="114"/>
      <c r="P33" s="81"/>
      <c r="Q33" s="114"/>
      <c r="R33" s="114"/>
      <c r="S33" s="114"/>
    </row>
    <row r="34" spans="1:19" x14ac:dyDescent="0.35">
      <c r="A34" s="81" t="s">
        <v>99</v>
      </c>
      <c r="B34" s="82">
        <v>0.35</v>
      </c>
      <c r="C34" s="82" t="s">
        <v>85</v>
      </c>
      <c r="D34" s="121">
        <f>SUM(B34:C34)</f>
        <v>0.35</v>
      </c>
      <c r="F34" s="81" t="s">
        <v>99</v>
      </c>
      <c r="G34" s="105">
        <v>0.42</v>
      </c>
      <c r="H34" s="105" t="s">
        <v>85</v>
      </c>
      <c r="I34" s="121">
        <f>SUM(G34:H34)</f>
        <v>0.42</v>
      </c>
      <c r="K34" s="81" t="s">
        <v>182</v>
      </c>
      <c r="L34" s="105">
        <v>0.42</v>
      </c>
      <c r="M34" s="105" t="s">
        <v>85</v>
      </c>
      <c r="N34" s="121">
        <f>SUM(L34:M34)</f>
        <v>0.42</v>
      </c>
      <c r="P34" s="81" t="s">
        <v>99</v>
      </c>
      <c r="Q34" s="105">
        <v>0.42</v>
      </c>
      <c r="R34" s="266">
        <v>0.02</v>
      </c>
      <c r="S34" s="83">
        <f>SUM(Q34:R34)</f>
        <v>0.44</v>
      </c>
    </row>
    <row r="35" spans="1:19" x14ac:dyDescent="0.35">
      <c r="A35" s="81" t="s">
        <v>184</v>
      </c>
      <c r="B35" s="82">
        <v>0.35</v>
      </c>
      <c r="C35" s="183">
        <v>0.08</v>
      </c>
      <c r="D35" s="83">
        <f>B35+(100%-B35)*C35</f>
        <v>0.40199999999999997</v>
      </c>
      <c r="F35" s="81"/>
      <c r="G35" s="105"/>
      <c r="H35" s="105"/>
      <c r="I35" s="121"/>
      <c r="K35" s="81" t="s">
        <v>304</v>
      </c>
      <c r="L35" s="105"/>
      <c r="M35" s="105"/>
      <c r="N35" s="121"/>
      <c r="P35" s="81"/>
      <c r="Q35" s="105"/>
      <c r="R35" s="105"/>
      <c r="S35" s="121"/>
    </row>
    <row r="36" spans="1:19" x14ac:dyDescent="0.35">
      <c r="A36" s="81" t="s">
        <v>185</v>
      </c>
      <c r="B36" s="82">
        <v>0.35</v>
      </c>
      <c r="C36" s="183">
        <v>0.09</v>
      </c>
      <c r="D36" s="83">
        <f t="shared" ref="D36:D45" si="0">B36+(100%-B36)*C36</f>
        <v>0.40849999999999997</v>
      </c>
      <c r="F36" s="81" t="s">
        <v>195</v>
      </c>
      <c r="G36" s="105"/>
      <c r="H36" s="105"/>
      <c r="I36" s="121" t="s">
        <v>196</v>
      </c>
      <c r="K36" s="81"/>
      <c r="L36" s="105"/>
      <c r="M36" s="105"/>
      <c r="N36" s="121"/>
      <c r="P36" s="81"/>
      <c r="Q36" s="105"/>
      <c r="R36" s="105"/>
      <c r="S36" s="121"/>
    </row>
    <row r="37" spans="1:19" x14ac:dyDescent="0.35">
      <c r="A37" s="81" t="s">
        <v>186</v>
      </c>
      <c r="B37" s="82">
        <v>0.35</v>
      </c>
      <c r="C37" s="183">
        <v>0.12</v>
      </c>
      <c r="D37" s="83">
        <f t="shared" si="0"/>
        <v>0.42799999999999999</v>
      </c>
      <c r="F37" s="81" t="s">
        <v>197</v>
      </c>
      <c r="G37" s="105"/>
      <c r="H37" s="105"/>
      <c r="I37" s="121" t="s">
        <v>198</v>
      </c>
      <c r="K37" s="81"/>
      <c r="L37" s="105"/>
      <c r="M37" s="105"/>
      <c r="N37" s="121"/>
      <c r="P37" s="81"/>
      <c r="Q37" s="105"/>
      <c r="R37" s="105"/>
      <c r="S37" s="121"/>
    </row>
    <row r="38" spans="1:19" x14ac:dyDescent="0.35">
      <c r="A38" s="81" t="s">
        <v>187</v>
      </c>
      <c r="B38" s="82">
        <v>0.35</v>
      </c>
      <c r="C38" s="183">
        <v>0.125</v>
      </c>
      <c r="D38" s="83">
        <f t="shared" si="0"/>
        <v>0.43124999999999997</v>
      </c>
      <c r="F38" s="81"/>
      <c r="G38" s="105"/>
      <c r="H38" s="105"/>
      <c r="I38" s="121"/>
      <c r="K38" s="81"/>
      <c r="L38" s="105"/>
      <c r="M38" s="105"/>
      <c r="N38" s="121"/>
      <c r="P38" s="81"/>
      <c r="Q38" s="105"/>
      <c r="R38" s="105"/>
      <c r="S38" s="121"/>
    </row>
    <row r="39" spans="1:19" x14ac:dyDescent="0.35">
      <c r="A39" s="81" t="s">
        <v>188</v>
      </c>
      <c r="B39" s="82">
        <v>0.35</v>
      </c>
      <c r="C39" s="183">
        <v>0.13</v>
      </c>
      <c r="D39" s="83">
        <f t="shared" si="0"/>
        <v>0.4345</v>
      </c>
      <c r="F39" s="81"/>
      <c r="G39" s="105"/>
      <c r="H39" s="105"/>
      <c r="I39" s="121"/>
      <c r="K39" s="81"/>
      <c r="L39" s="105"/>
      <c r="M39" s="105"/>
      <c r="N39" s="121"/>
      <c r="P39" s="81"/>
      <c r="Q39" s="105"/>
      <c r="R39" s="105"/>
      <c r="S39" s="121"/>
    </row>
    <row r="40" spans="1:19" x14ac:dyDescent="0.35">
      <c r="A40" s="81" t="s">
        <v>189</v>
      </c>
      <c r="B40" s="82">
        <v>0.35</v>
      </c>
      <c r="C40" s="183">
        <v>0.13500000000000001</v>
      </c>
      <c r="D40" s="83">
        <f t="shared" si="0"/>
        <v>0.43774999999999997</v>
      </c>
      <c r="F40" s="81"/>
      <c r="G40" s="105"/>
      <c r="H40" s="105"/>
      <c r="I40" s="121"/>
      <c r="K40" s="81"/>
      <c r="L40" s="105"/>
      <c r="M40" s="105"/>
      <c r="N40" s="121"/>
      <c r="P40" s="81"/>
      <c r="Q40" s="105"/>
      <c r="R40" s="105"/>
      <c r="S40" s="121"/>
    </row>
    <row r="41" spans="1:19" x14ac:dyDescent="0.35">
      <c r="A41" s="81" t="s">
        <v>190</v>
      </c>
      <c r="B41" s="82">
        <v>0.35</v>
      </c>
      <c r="C41" s="183">
        <v>0.14000000000000001</v>
      </c>
      <c r="D41" s="83">
        <f t="shared" si="0"/>
        <v>0.441</v>
      </c>
      <c r="G41" s="98"/>
      <c r="H41" s="98"/>
      <c r="I41" s="186"/>
      <c r="L41" s="98"/>
      <c r="M41" s="98"/>
      <c r="N41" s="186"/>
      <c r="Q41" s="98"/>
      <c r="R41" s="98"/>
      <c r="S41" s="186"/>
    </row>
    <row r="42" spans="1:19" x14ac:dyDescent="0.35">
      <c r="A42" s="81" t="s">
        <v>191</v>
      </c>
      <c r="B42" s="82">
        <v>0.35</v>
      </c>
      <c r="C42" s="183">
        <v>0.15</v>
      </c>
      <c r="D42" s="83">
        <f t="shared" si="0"/>
        <v>0.44750000000000001</v>
      </c>
      <c r="G42" s="98"/>
      <c r="H42" s="98"/>
      <c r="I42" s="186"/>
      <c r="L42" s="98"/>
      <c r="M42" s="98"/>
      <c r="N42" s="186"/>
      <c r="Q42" s="98"/>
      <c r="S42" s="186"/>
    </row>
    <row r="43" spans="1:19" x14ac:dyDescent="0.35">
      <c r="A43" s="81" t="s">
        <v>192</v>
      </c>
      <c r="B43" s="82">
        <v>0.35</v>
      </c>
      <c r="C43" s="183">
        <v>0.16</v>
      </c>
      <c r="D43" s="83">
        <f t="shared" si="0"/>
        <v>0.45399999999999996</v>
      </c>
      <c r="G43" s="98"/>
      <c r="H43" s="98"/>
      <c r="I43" s="186"/>
      <c r="L43" s="98"/>
      <c r="M43" s="98"/>
      <c r="N43" s="186"/>
      <c r="P43" s="263" t="s">
        <v>305</v>
      </c>
      <c r="Q43" s="267"/>
      <c r="R43" s="267"/>
      <c r="S43" s="268"/>
    </row>
    <row r="44" spans="1:19" x14ac:dyDescent="0.35">
      <c r="A44" s="81" t="s">
        <v>193</v>
      </c>
      <c r="B44" s="82">
        <v>0.35</v>
      </c>
      <c r="C44" s="183">
        <v>0.18</v>
      </c>
      <c r="D44" s="83">
        <f t="shared" si="0"/>
        <v>0.46699999999999997</v>
      </c>
      <c r="G44" s="98"/>
      <c r="H44" s="98"/>
      <c r="I44" s="186"/>
      <c r="L44" s="98"/>
      <c r="M44" s="98"/>
      <c r="N44" s="186"/>
      <c r="Q44" s="98"/>
      <c r="R44" s="98"/>
      <c r="S44" s="186"/>
    </row>
    <row r="45" spans="1:19" x14ac:dyDescent="0.35">
      <c r="A45" s="81" t="s">
        <v>194</v>
      </c>
      <c r="B45" s="82">
        <v>0.35</v>
      </c>
      <c r="C45" s="183">
        <v>0.2</v>
      </c>
      <c r="D45" s="83">
        <f t="shared" si="0"/>
        <v>0.48</v>
      </c>
      <c r="G45" s="98"/>
      <c r="H45" s="98"/>
      <c r="I45" s="186"/>
      <c r="L45" s="98"/>
      <c r="M45" s="98"/>
      <c r="N45" s="186"/>
      <c r="Q45" s="98"/>
      <c r="R45" s="98"/>
      <c r="S45" s="186"/>
    </row>
    <row r="46" spans="1:19" ht="15" thickBot="1" x14ac:dyDescent="0.4">
      <c r="B46" s="3"/>
      <c r="C46" s="3"/>
      <c r="D46" s="3"/>
      <c r="G46" s="3"/>
      <c r="H46" s="3"/>
      <c r="I46" s="3"/>
      <c r="L46" s="3"/>
      <c r="M46" s="3"/>
      <c r="N46" s="3"/>
      <c r="Q46" s="3"/>
      <c r="R46" s="3"/>
      <c r="S46" s="3"/>
    </row>
    <row r="47" spans="1:19" ht="16" thickBot="1" x14ac:dyDescent="0.4">
      <c r="A47" s="125" t="s">
        <v>169</v>
      </c>
      <c r="B47" s="126"/>
      <c r="C47" s="187">
        <v>0.35</v>
      </c>
      <c r="D47" s="127"/>
      <c r="F47" s="169" t="s">
        <v>171</v>
      </c>
      <c r="G47" s="188" t="s">
        <v>199</v>
      </c>
      <c r="H47" s="188"/>
      <c r="I47" s="170"/>
      <c r="K47" s="174" t="s">
        <v>173</v>
      </c>
      <c r="L47" s="175"/>
      <c r="M47" s="189">
        <v>0.42</v>
      </c>
      <c r="N47" s="176"/>
      <c r="P47" s="180" t="s">
        <v>255</v>
      </c>
      <c r="Q47" s="181"/>
      <c r="R47" s="190">
        <v>0.42</v>
      </c>
      <c r="S47" s="182"/>
    </row>
    <row r="49" spans="1:4" x14ac:dyDescent="0.35">
      <c r="C49" s="185" t="s">
        <v>183</v>
      </c>
    </row>
    <row r="51" spans="1:4" ht="15" thickBot="1" x14ac:dyDescent="0.4"/>
    <row r="52" spans="1:4" ht="24" thickBot="1" x14ac:dyDescent="0.6">
      <c r="A52" s="177" t="s">
        <v>308</v>
      </c>
      <c r="B52" s="178"/>
      <c r="C52" s="178"/>
      <c r="D52" s="179"/>
    </row>
    <row r="54" spans="1:4" x14ac:dyDescent="0.35">
      <c r="A54" s="81" t="s">
        <v>18</v>
      </c>
      <c r="B54" s="114" t="s">
        <v>94</v>
      </c>
      <c r="C54" s="114" t="s">
        <v>95</v>
      </c>
      <c r="D54" s="114" t="s">
        <v>96</v>
      </c>
    </row>
    <row r="55" spans="1:4" x14ac:dyDescent="0.35">
      <c r="A55" s="81"/>
      <c r="B55" s="114"/>
      <c r="C55" s="114"/>
      <c r="D55" s="114"/>
    </row>
    <row r="56" spans="1:4" x14ac:dyDescent="0.35">
      <c r="A56" s="81" t="s">
        <v>99</v>
      </c>
      <c r="B56" s="105">
        <v>0.51</v>
      </c>
      <c r="C56" s="105">
        <v>0.04</v>
      </c>
      <c r="D56" s="83">
        <f>SUM(B56:C56)</f>
        <v>0.55000000000000004</v>
      </c>
    </row>
    <row r="57" spans="1:4" x14ac:dyDescent="0.35">
      <c r="A57" s="81"/>
      <c r="B57" s="105"/>
      <c r="C57" s="105"/>
      <c r="D57" s="121"/>
    </row>
    <row r="58" spans="1:4" x14ac:dyDescent="0.35">
      <c r="A58" s="81"/>
      <c r="B58" s="105"/>
      <c r="C58" s="105"/>
      <c r="D58" s="121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48"/>
  <sheetViews>
    <sheetView zoomScale="80" zoomScaleNormal="80" workbookViewId="0">
      <pane xSplit="3" ySplit="4" topLeftCell="D21" activePane="bottomRight" state="frozen"/>
      <selection pane="topRight" activeCell="D1" sqref="D1"/>
      <selection pane="bottomLeft" activeCell="A6" sqref="A6"/>
      <selection pane="bottomRight" activeCell="A46" sqref="A46"/>
    </sheetView>
  </sheetViews>
  <sheetFormatPr baseColWidth="10" defaultColWidth="11.453125" defaultRowHeight="14.5" x14ac:dyDescent="0.35"/>
  <cols>
    <col min="1" max="1" width="2.54296875" customWidth="1"/>
    <col min="2" max="2" width="25.453125" customWidth="1"/>
    <col min="3" max="3" width="26.453125" customWidth="1"/>
    <col min="4" max="4" width="17.54296875" customWidth="1"/>
    <col min="5" max="5" width="14.7265625" customWidth="1"/>
    <col min="6" max="6" width="13.1796875" customWidth="1"/>
    <col min="7" max="7" width="20.453125" customWidth="1"/>
    <col min="8" max="9" width="15.54296875" style="3" customWidth="1"/>
    <col min="10" max="10" width="25.26953125" customWidth="1"/>
    <col min="11" max="11" width="22.453125" style="3" customWidth="1"/>
    <col min="12" max="12" width="18.54296875" style="3" customWidth="1"/>
    <col min="13" max="13" width="11.54296875" customWidth="1"/>
    <col min="14" max="14" width="14.54296875" style="3" customWidth="1"/>
    <col min="15" max="15" width="23.54296875" style="3" customWidth="1"/>
    <col min="16" max="17" width="11.81640625" style="3" customWidth="1"/>
    <col min="18" max="18" width="13.54296875" customWidth="1"/>
    <col min="19" max="19" width="20.54296875" customWidth="1"/>
    <col min="20" max="21" width="12.26953125" customWidth="1"/>
    <col min="22" max="22" width="15" customWidth="1"/>
    <col min="23" max="23" width="25.54296875" customWidth="1"/>
    <col min="24" max="24" width="16.1796875" style="3" customWidth="1"/>
  </cols>
  <sheetData>
    <row r="1" spans="2:34" x14ac:dyDescent="0.35">
      <c r="D1" t="s">
        <v>55</v>
      </c>
      <c r="E1" s="49" t="s">
        <v>182</v>
      </c>
      <c r="H1" s="3" t="s">
        <v>55</v>
      </c>
      <c r="I1" s="51">
        <v>0.51</v>
      </c>
      <c r="L1" s="3" t="s">
        <v>55</v>
      </c>
      <c r="M1" s="100">
        <v>0.39200000000000002</v>
      </c>
      <c r="P1" s="3" t="s">
        <v>55</v>
      </c>
      <c r="Q1" s="51">
        <v>0.47</v>
      </c>
      <c r="T1" t="s">
        <v>55</v>
      </c>
      <c r="U1" s="49">
        <v>0.46</v>
      </c>
      <c r="X1" s="3" t="s">
        <v>62</v>
      </c>
      <c r="Y1" s="49">
        <v>0.44</v>
      </c>
      <c r="AB1" t="s">
        <v>55</v>
      </c>
      <c r="AC1" s="49">
        <v>0.51</v>
      </c>
      <c r="AE1" s="3"/>
      <c r="AF1" s="3" t="s">
        <v>55</v>
      </c>
      <c r="AG1" s="51">
        <v>0.46</v>
      </c>
    </row>
    <row r="2" spans="2:34" x14ac:dyDescent="0.35">
      <c r="M2" s="54"/>
      <c r="P2" s="51"/>
      <c r="Q2" s="51"/>
      <c r="T2" s="49"/>
      <c r="U2" s="49"/>
      <c r="AE2" s="3"/>
      <c r="AF2" s="51"/>
      <c r="AG2" s="51"/>
    </row>
    <row r="3" spans="2:34" ht="29" thickBot="1" x14ac:dyDescent="0.7">
      <c r="C3" s="90" t="s">
        <v>43</v>
      </c>
      <c r="D3" s="90"/>
      <c r="E3" s="90"/>
      <c r="F3" s="90"/>
      <c r="G3" s="93" t="s">
        <v>39</v>
      </c>
      <c r="H3" s="92"/>
      <c r="I3" s="92"/>
      <c r="J3" s="91"/>
      <c r="K3" s="94" t="s">
        <v>40</v>
      </c>
      <c r="L3" s="87"/>
      <c r="M3" s="85"/>
      <c r="N3" s="87"/>
      <c r="O3" s="95" t="s">
        <v>41</v>
      </c>
      <c r="P3" s="89"/>
      <c r="Q3" s="89"/>
      <c r="R3" s="88"/>
      <c r="S3" s="96" t="s">
        <v>42</v>
      </c>
      <c r="T3" s="86"/>
      <c r="U3" s="86"/>
      <c r="V3" s="86"/>
      <c r="W3" s="102" t="s">
        <v>44</v>
      </c>
      <c r="X3" s="103"/>
      <c r="Y3" s="104"/>
      <c r="Z3" s="103"/>
      <c r="AA3" s="96" t="s">
        <v>57</v>
      </c>
      <c r="AB3" s="86"/>
      <c r="AC3" s="86"/>
      <c r="AD3" s="86"/>
      <c r="AE3" s="95" t="s">
        <v>63</v>
      </c>
      <c r="AF3" s="89"/>
      <c r="AG3" s="89"/>
      <c r="AH3" s="88"/>
    </row>
    <row r="4" spans="2:34" x14ac:dyDescent="0.35">
      <c r="B4" s="7" t="s">
        <v>9</v>
      </c>
      <c r="C4" s="97" t="s">
        <v>17</v>
      </c>
      <c r="D4" s="52" t="s">
        <v>14</v>
      </c>
      <c r="E4" s="52" t="s">
        <v>54</v>
      </c>
      <c r="F4" s="9" t="s">
        <v>16</v>
      </c>
      <c r="G4" s="12" t="s">
        <v>17</v>
      </c>
      <c r="H4" s="52" t="s">
        <v>14</v>
      </c>
      <c r="I4" s="52" t="s">
        <v>54</v>
      </c>
      <c r="J4" s="9" t="s">
        <v>16</v>
      </c>
      <c r="K4" s="12" t="s">
        <v>17</v>
      </c>
      <c r="L4" s="46" t="s">
        <v>14</v>
      </c>
      <c r="M4" s="52" t="s">
        <v>54</v>
      </c>
      <c r="N4" s="9" t="s">
        <v>16</v>
      </c>
      <c r="O4" s="12" t="s">
        <v>17</v>
      </c>
      <c r="P4" s="52" t="s">
        <v>14</v>
      </c>
      <c r="Q4" s="52" t="s">
        <v>54</v>
      </c>
      <c r="R4" s="9" t="s">
        <v>16</v>
      </c>
      <c r="S4" s="12" t="s">
        <v>17</v>
      </c>
      <c r="T4" s="52" t="s">
        <v>14</v>
      </c>
      <c r="U4" s="52" t="s">
        <v>54</v>
      </c>
      <c r="V4" s="9" t="s">
        <v>16</v>
      </c>
      <c r="W4" s="12" t="s">
        <v>17</v>
      </c>
      <c r="X4" s="52" t="s">
        <v>14</v>
      </c>
      <c r="Y4" s="52" t="s">
        <v>54</v>
      </c>
      <c r="Z4" s="9" t="s">
        <v>16</v>
      </c>
      <c r="AA4" s="12" t="s">
        <v>17</v>
      </c>
      <c r="AB4" s="52" t="s">
        <v>14</v>
      </c>
      <c r="AC4" s="52" t="s">
        <v>54</v>
      </c>
      <c r="AD4" s="9" t="s">
        <v>16</v>
      </c>
      <c r="AE4" s="12" t="s">
        <v>17</v>
      </c>
      <c r="AF4" s="52" t="s">
        <v>14</v>
      </c>
      <c r="AG4" s="52" t="s">
        <v>54</v>
      </c>
      <c r="AH4" s="9" t="s">
        <v>16</v>
      </c>
    </row>
    <row r="5" spans="2:34" x14ac:dyDescent="0.35">
      <c r="B5" s="8"/>
      <c r="C5" s="10"/>
      <c r="D5" s="53"/>
      <c r="E5" s="109"/>
      <c r="F5" s="11"/>
      <c r="G5" s="13"/>
      <c r="H5" s="53"/>
      <c r="I5" s="109"/>
      <c r="J5" s="14"/>
      <c r="K5" s="13"/>
      <c r="L5" s="47"/>
      <c r="M5" s="53"/>
      <c r="N5" s="14"/>
      <c r="O5" s="13"/>
      <c r="P5" s="53"/>
      <c r="Q5" s="109"/>
      <c r="R5" s="14"/>
      <c r="S5" s="13"/>
      <c r="T5" s="53"/>
      <c r="U5" s="109"/>
      <c r="V5" s="11"/>
      <c r="W5" s="13"/>
      <c r="X5" s="13"/>
      <c r="Y5" s="53"/>
      <c r="Z5" s="14"/>
      <c r="AA5" s="13"/>
      <c r="AB5" s="13"/>
      <c r="AC5" s="53"/>
      <c r="AD5" s="14"/>
      <c r="AE5" s="13"/>
      <c r="AF5" s="13"/>
      <c r="AG5" s="53"/>
      <c r="AH5" s="14"/>
    </row>
    <row r="6" spans="2:34" x14ac:dyDescent="0.35">
      <c r="B6" s="7" t="s">
        <v>10</v>
      </c>
      <c r="C6" s="10"/>
      <c r="D6" s="68"/>
      <c r="E6" s="110"/>
      <c r="F6" s="11"/>
      <c r="G6" s="13"/>
      <c r="H6" s="53"/>
      <c r="I6" s="109"/>
      <c r="J6" s="14"/>
      <c r="K6" s="13"/>
      <c r="L6" s="47"/>
      <c r="M6" s="53"/>
      <c r="N6" s="14"/>
      <c r="O6" s="13"/>
      <c r="P6" s="64"/>
      <c r="Q6" s="112"/>
      <c r="R6" s="14"/>
      <c r="S6" s="13"/>
      <c r="T6" s="8"/>
      <c r="U6" s="113"/>
      <c r="V6" s="11"/>
      <c r="W6" s="13"/>
      <c r="X6" s="53"/>
      <c r="Y6" s="64"/>
      <c r="Z6" s="14"/>
      <c r="AA6" s="13"/>
      <c r="AB6" s="53"/>
      <c r="AC6" s="64"/>
      <c r="AD6" s="14"/>
      <c r="AE6" s="13"/>
      <c r="AF6" s="53"/>
      <c r="AG6" s="64"/>
      <c r="AH6" s="14"/>
    </row>
    <row r="7" spans="2:34" x14ac:dyDescent="0.35">
      <c r="B7" s="8" t="s">
        <v>3</v>
      </c>
      <c r="C7" s="81" t="s">
        <v>174</v>
      </c>
      <c r="D7" s="101"/>
      <c r="E7" s="67">
        <v>5250</v>
      </c>
      <c r="F7" s="261">
        <f>E7*100/I7</f>
        <v>106.42977763271793</v>
      </c>
      <c r="G7" s="13" t="s">
        <v>46</v>
      </c>
      <c r="H7" s="114">
        <v>10067</v>
      </c>
      <c r="I7" s="67">
        <f>H7-(H7*I$1)</f>
        <v>4932.83</v>
      </c>
      <c r="J7" s="11">
        <v>100</v>
      </c>
      <c r="K7" s="13" t="s">
        <v>68</v>
      </c>
      <c r="L7" s="114">
        <v>10302</v>
      </c>
      <c r="M7" s="84">
        <f>L7*0.577</f>
        <v>5944.2539999999999</v>
      </c>
      <c r="N7" s="50">
        <f>M7*100/$E7</f>
        <v>113.22388571428571</v>
      </c>
      <c r="O7" s="115" t="s">
        <v>34</v>
      </c>
      <c r="P7" s="114">
        <v>10925</v>
      </c>
      <c r="Q7" s="67">
        <f>P7-(P7*Q$1)</f>
        <v>5790.25</v>
      </c>
      <c r="R7" s="50">
        <f>Q7*100/$E7</f>
        <v>110.29047619047618</v>
      </c>
      <c r="S7" s="13" t="s">
        <v>35</v>
      </c>
      <c r="T7" s="114">
        <v>9088</v>
      </c>
      <c r="U7" s="67">
        <f>T7-(T7*U$1)</f>
        <v>4907.5199999999995</v>
      </c>
      <c r="V7" s="50">
        <f>U7*100/$E7</f>
        <v>93.476571428571418</v>
      </c>
      <c r="W7" s="115" t="s">
        <v>75</v>
      </c>
      <c r="X7" s="114">
        <v>14495</v>
      </c>
      <c r="Y7" s="67">
        <f>X7-(X7*Y$1)</f>
        <v>8117.2</v>
      </c>
      <c r="Z7" s="50">
        <f>Y7*100/$E7</f>
        <v>154.61333333333334</v>
      </c>
      <c r="AA7" s="115" t="s">
        <v>79</v>
      </c>
      <c r="AB7" s="114" t="s">
        <v>85</v>
      </c>
      <c r="AC7" s="67"/>
      <c r="AD7" s="50"/>
      <c r="AE7" s="81" t="s">
        <v>86</v>
      </c>
      <c r="AF7" s="114">
        <v>8448</v>
      </c>
      <c r="AG7" s="67">
        <f>AF7-(AF7*AG$1)</f>
        <v>4561.92</v>
      </c>
      <c r="AH7" s="50">
        <f>AG7*100/$E7</f>
        <v>86.893714285714282</v>
      </c>
    </row>
    <row r="8" spans="2:34" x14ac:dyDescent="0.35">
      <c r="B8" s="8" t="s">
        <v>4</v>
      </c>
      <c r="C8" s="81" t="s">
        <v>288</v>
      </c>
      <c r="D8" s="101"/>
      <c r="E8" s="67">
        <v>4900</v>
      </c>
      <c r="F8" s="261">
        <f t="shared" ref="F8:F22" si="0">E8*100/I8</f>
        <v>104.86577181208052</v>
      </c>
      <c r="G8" s="10" t="s">
        <v>46</v>
      </c>
      <c r="H8" s="114">
        <v>9536</v>
      </c>
      <c r="I8" s="67">
        <f t="shared" ref="I8:I22" si="1">H8-(H8*I$1)</f>
        <v>4672.6400000000003</v>
      </c>
      <c r="J8" s="11">
        <v>100</v>
      </c>
      <c r="K8" s="13" t="s">
        <v>68</v>
      </c>
      <c r="L8" s="114">
        <v>9912</v>
      </c>
      <c r="M8" s="84">
        <f>L8-(L8*M$1)</f>
        <v>6026.4959999999992</v>
      </c>
      <c r="N8" s="50">
        <f t="shared" ref="N8:N10" si="2">M8*100/$E8</f>
        <v>122.98971428571426</v>
      </c>
      <c r="O8" s="115" t="s">
        <v>34</v>
      </c>
      <c r="P8" s="114">
        <v>10184</v>
      </c>
      <c r="Q8" s="67">
        <f t="shared" ref="Q8:Q22" si="3">P8-(P8*Q$1)</f>
        <v>5397.52</v>
      </c>
      <c r="R8" s="50">
        <f t="shared" ref="R8:R22" si="4">Q8*100/$E8</f>
        <v>110.15346938775509</v>
      </c>
      <c r="S8" s="13" t="s">
        <v>35</v>
      </c>
      <c r="T8" s="114">
        <v>8300</v>
      </c>
      <c r="U8" s="67">
        <f t="shared" ref="U8:U22" si="5">T8-(T8*U$1)</f>
        <v>4482</v>
      </c>
      <c r="V8" s="50">
        <f t="shared" ref="V8:V22" si="6">U8*100/$E8</f>
        <v>91.469387755102048</v>
      </c>
      <c r="W8" s="115" t="s">
        <v>75</v>
      </c>
      <c r="X8" s="114">
        <v>13302</v>
      </c>
      <c r="Y8" s="67">
        <f t="shared" ref="Y8:Y22" si="7">X8-(X8*Y$1)</f>
        <v>7449.12</v>
      </c>
      <c r="Z8" s="50">
        <f t="shared" ref="Z8:Z22" si="8">Y8*100/$E8</f>
        <v>152.02285714285713</v>
      </c>
      <c r="AA8" s="115" t="s">
        <v>79</v>
      </c>
      <c r="AB8" s="114" t="s">
        <v>85</v>
      </c>
      <c r="AC8" s="67"/>
      <c r="AD8" s="50"/>
      <c r="AE8" s="81" t="s">
        <v>86</v>
      </c>
      <c r="AF8" s="114">
        <v>8409</v>
      </c>
      <c r="AG8" s="67">
        <f t="shared" ref="AG8:AG22" si="9">AF8-(AF8*AG$1)</f>
        <v>4540.8599999999997</v>
      </c>
      <c r="AH8" s="50">
        <f t="shared" ref="AH8:AH22" si="10">AG8*100/$E8</f>
        <v>92.670612244897953</v>
      </c>
    </row>
    <row r="9" spans="2:34" x14ac:dyDescent="0.35">
      <c r="B9" s="8" t="s">
        <v>5</v>
      </c>
      <c r="C9" s="81" t="s">
        <v>174</v>
      </c>
      <c r="D9" s="101"/>
      <c r="E9" s="67">
        <v>4950</v>
      </c>
      <c r="F9" s="261">
        <f t="shared" si="0"/>
        <v>107.30869785772819</v>
      </c>
      <c r="G9" s="13" t="s">
        <v>46</v>
      </c>
      <c r="H9" s="114">
        <v>9414</v>
      </c>
      <c r="I9" s="67">
        <f t="shared" si="1"/>
        <v>4612.8599999999997</v>
      </c>
      <c r="J9" s="11">
        <v>100</v>
      </c>
      <c r="K9" s="13" t="s">
        <v>68</v>
      </c>
      <c r="L9" s="114">
        <v>9727</v>
      </c>
      <c r="M9" s="84">
        <f t="shared" ref="M9:M22" si="11">L9-(L9*M$1)</f>
        <v>5914.0159999999996</v>
      </c>
      <c r="N9" s="50">
        <f t="shared" si="2"/>
        <v>119.4750707070707</v>
      </c>
      <c r="O9" s="115" t="s">
        <v>34</v>
      </c>
      <c r="P9" s="114">
        <v>9780</v>
      </c>
      <c r="Q9" s="67">
        <f t="shared" si="3"/>
        <v>5183.4000000000005</v>
      </c>
      <c r="R9" s="50">
        <f t="shared" si="4"/>
        <v>104.71515151515153</v>
      </c>
      <c r="S9" s="13" t="s">
        <v>35</v>
      </c>
      <c r="T9" s="114">
        <v>8300</v>
      </c>
      <c r="U9" s="67">
        <f t="shared" si="5"/>
        <v>4482</v>
      </c>
      <c r="V9" s="50">
        <f t="shared" si="6"/>
        <v>90.545454545454547</v>
      </c>
      <c r="W9" s="115" t="s">
        <v>75</v>
      </c>
      <c r="X9" s="114">
        <v>13195</v>
      </c>
      <c r="Y9" s="67">
        <f t="shared" si="7"/>
        <v>7389.2</v>
      </c>
      <c r="Z9" s="50">
        <f t="shared" si="8"/>
        <v>149.27676767676769</v>
      </c>
      <c r="AA9" s="115" t="s">
        <v>79</v>
      </c>
      <c r="AB9" s="114" t="s">
        <v>85</v>
      </c>
      <c r="AC9" s="67"/>
      <c r="AD9" s="50"/>
      <c r="AE9" s="81" t="s">
        <v>86</v>
      </c>
      <c r="AF9" s="114">
        <v>7494</v>
      </c>
      <c r="AG9" s="67">
        <f t="shared" si="9"/>
        <v>4046.7599999999998</v>
      </c>
      <c r="AH9" s="50">
        <f t="shared" si="10"/>
        <v>81.75272727272727</v>
      </c>
    </row>
    <row r="10" spans="2:34" x14ac:dyDescent="0.35">
      <c r="B10" s="8" t="s">
        <v>6</v>
      </c>
      <c r="C10" s="81" t="s">
        <v>174</v>
      </c>
      <c r="D10" s="101"/>
      <c r="E10" s="67">
        <v>4900</v>
      </c>
      <c r="F10" s="261">
        <f t="shared" si="0"/>
        <v>112.05737337516808</v>
      </c>
      <c r="G10" s="13" t="s">
        <v>46</v>
      </c>
      <c r="H10" s="114">
        <v>8924</v>
      </c>
      <c r="I10" s="67">
        <f t="shared" si="1"/>
        <v>4372.76</v>
      </c>
      <c r="J10" s="11">
        <v>100</v>
      </c>
      <c r="K10" s="13" t="s">
        <v>68</v>
      </c>
      <c r="L10" s="114">
        <v>9311</v>
      </c>
      <c r="M10" s="84">
        <f t="shared" si="11"/>
        <v>5661.0879999999997</v>
      </c>
      <c r="N10" s="50">
        <f t="shared" si="2"/>
        <v>115.53240816326529</v>
      </c>
      <c r="O10" s="115" t="s">
        <v>34</v>
      </c>
      <c r="P10" s="114">
        <v>9180</v>
      </c>
      <c r="Q10" s="67">
        <f t="shared" si="3"/>
        <v>4865.4000000000005</v>
      </c>
      <c r="R10" s="50">
        <f t="shared" si="4"/>
        <v>99.293877551020415</v>
      </c>
      <c r="S10" s="13" t="s">
        <v>35</v>
      </c>
      <c r="T10" s="114">
        <v>7830</v>
      </c>
      <c r="U10" s="67">
        <f t="shared" si="5"/>
        <v>4228.2</v>
      </c>
      <c r="V10" s="50">
        <f t="shared" si="6"/>
        <v>86.289795918367346</v>
      </c>
      <c r="W10" s="115" t="s">
        <v>75</v>
      </c>
      <c r="X10" s="114">
        <v>12930</v>
      </c>
      <c r="Y10" s="67">
        <f t="shared" si="7"/>
        <v>7240.8</v>
      </c>
      <c r="Z10" s="50">
        <f t="shared" si="8"/>
        <v>147.77142857142857</v>
      </c>
      <c r="AA10" s="115" t="s">
        <v>79</v>
      </c>
      <c r="AB10" s="114" t="s">
        <v>85</v>
      </c>
      <c r="AC10" s="67"/>
      <c r="AD10" s="50"/>
      <c r="AE10" s="81" t="s">
        <v>86</v>
      </c>
      <c r="AF10" s="114">
        <v>7226</v>
      </c>
      <c r="AG10" s="67">
        <f t="shared" si="9"/>
        <v>3902.04</v>
      </c>
      <c r="AH10" s="50">
        <f t="shared" si="10"/>
        <v>79.633469387755099</v>
      </c>
    </row>
    <row r="11" spans="2:34" x14ac:dyDescent="0.35">
      <c r="B11" s="8"/>
      <c r="C11" s="81"/>
      <c r="D11" s="101"/>
      <c r="E11" s="67"/>
      <c r="F11" s="261"/>
      <c r="G11" s="13"/>
      <c r="H11" s="114"/>
      <c r="I11" s="67"/>
      <c r="J11" s="11"/>
      <c r="K11" s="13"/>
      <c r="L11" s="114"/>
      <c r="M11" s="84"/>
      <c r="N11" s="50"/>
      <c r="O11" s="13"/>
      <c r="P11" s="114"/>
      <c r="Q11" s="67"/>
      <c r="R11" s="50"/>
      <c r="S11" s="13"/>
      <c r="T11" s="114"/>
      <c r="U11" s="67"/>
      <c r="V11" s="50"/>
      <c r="W11" s="13"/>
      <c r="X11" s="114"/>
      <c r="Y11" s="67"/>
      <c r="Z11" s="50"/>
      <c r="AA11" s="13"/>
      <c r="AB11" s="114"/>
      <c r="AC11" s="67"/>
      <c r="AD11" s="50"/>
      <c r="AE11" s="13"/>
      <c r="AF11" s="114"/>
      <c r="AG11" s="67"/>
      <c r="AH11" s="50"/>
    </row>
    <row r="12" spans="2:34" x14ac:dyDescent="0.35">
      <c r="B12" s="7" t="s">
        <v>11</v>
      </c>
      <c r="C12" s="81"/>
      <c r="D12" s="101"/>
      <c r="E12" s="67"/>
      <c r="F12" s="261"/>
      <c r="G12" s="13"/>
      <c r="H12" s="114"/>
      <c r="I12" s="67"/>
      <c r="J12" s="11"/>
      <c r="K12" s="13"/>
      <c r="L12" s="114"/>
      <c r="M12" s="84"/>
      <c r="N12" s="50"/>
      <c r="P12" s="114"/>
      <c r="Q12" s="67"/>
      <c r="R12" s="50"/>
      <c r="S12" s="13"/>
      <c r="T12" s="114"/>
      <c r="U12" s="67"/>
      <c r="V12" s="50"/>
      <c r="W12" s="13"/>
      <c r="X12" s="114"/>
      <c r="Y12" s="67"/>
      <c r="Z12" s="50"/>
      <c r="AA12" s="13"/>
      <c r="AB12" s="114"/>
      <c r="AC12" s="67"/>
      <c r="AD12" s="50"/>
      <c r="AE12" s="13"/>
      <c r="AF12" s="114"/>
      <c r="AG12" s="67"/>
      <c r="AH12" s="50"/>
    </row>
    <row r="13" spans="2:34" x14ac:dyDescent="0.35">
      <c r="B13" s="8" t="s">
        <v>164</v>
      </c>
      <c r="C13" s="81" t="s">
        <v>289</v>
      </c>
      <c r="D13" s="101"/>
      <c r="E13" s="67">
        <v>4400</v>
      </c>
      <c r="F13" s="261">
        <f t="shared" si="0"/>
        <v>100.62294752055909</v>
      </c>
      <c r="G13" s="13" t="s">
        <v>47</v>
      </c>
      <c r="H13" s="114">
        <v>8924</v>
      </c>
      <c r="I13" s="67">
        <f t="shared" si="1"/>
        <v>4372.76</v>
      </c>
      <c r="J13" s="11">
        <v>100</v>
      </c>
      <c r="K13" s="13" t="s">
        <v>69</v>
      </c>
      <c r="L13" s="114">
        <v>9311</v>
      </c>
      <c r="M13" s="84">
        <f t="shared" si="11"/>
        <v>5661.0879999999997</v>
      </c>
      <c r="N13" s="50">
        <f t="shared" ref="N13:N22" si="12">M13*100/$E13</f>
        <v>128.66109090909089</v>
      </c>
      <c r="O13" s="115" t="s">
        <v>72</v>
      </c>
      <c r="P13" s="114">
        <v>8068</v>
      </c>
      <c r="Q13" s="67">
        <f t="shared" si="3"/>
        <v>4276.0400000000009</v>
      </c>
      <c r="R13" s="50">
        <f t="shared" si="4"/>
        <v>97.182727272727305</v>
      </c>
      <c r="S13" s="13" t="s">
        <v>286</v>
      </c>
      <c r="T13" s="114">
        <v>7830</v>
      </c>
      <c r="U13" s="67">
        <f t="shared" si="5"/>
        <v>4228.2</v>
      </c>
      <c r="V13" s="50">
        <f t="shared" si="6"/>
        <v>96.095454545454544</v>
      </c>
      <c r="W13" s="115" t="s">
        <v>76</v>
      </c>
      <c r="X13" s="114">
        <v>12930</v>
      </c>
      <c r="Y13" s="67">
        <f t="shared" si="7"/>
        <v>7240.8</v>
      </c>
      <c r="Z13" s="50">
        <f t="shared" si="8"/>
        <v>164.56363636363636</v>
      </c>
      <c r="AA13" s="115" t="s">
        <v>80</v>
      </c>
      <c r="AB13" s="114"/>
      <c r="AC13" s="67">
        <v>2765</v>
      </c>
      <c r="AD13" s="50">
        <f t="shared" ref="AD13:AD22" si="13">AC13*100/$E13</f>
        <v>62.840909090909093</v>
      </c>
      <c r="AE13" s="115" t="s">
        <v>87</v>
      </c>
      <c r="AF13" s="114">
        <v>7226</v>
      </c>
      <c r="AG13" s="67">
        <f t="shared" si="9"/>
        <v>3902.04</v>
      </c>
      <c r="AH13" s="50">
        <f t="shared" si="10"/>
        <v>88.682727272727277</v>
      </c>
    </row>
    <row r="14" spans="2:34" x14ac:dyDescent="0.35">
      <c r="B14" s="8" t="s">
        <v>165</v>
      </c>
      <c r="C14" s="81" t="s">
        <v>290</v>
      </c>
      <c r="D14" s="101"/>
      <c r="E14" s="67">
        <v>4400</v>
      </c>
      <c r="F14" s="261">
        <f t="shared" si="0"/>
        <v>100.62294752055909</v>
      </c>
      <c r="G14" s="13" t="s">
        <v>47</v>
      </c>
      <c r="H14" s="114">
        <v>8924</v>
      </c>
      <c r="I14" s="67">
        <f t="shared" si="1"/>
        <v>4372.76</v>
      </c>
      <c r="J14" s="11">
        <v>100</v>
      </c>
      <c r="K14" s="13" t="s">
        <v>70</v>
      </c>
      <c r="L14" s="114">
        <v>9490</v>
      </c>
      <c r="M14" s="84">
        <f t="shared" si="11"/>
        <v>5769.92</v>
      </c>
      <c r="N14" s="50">
        <f t="shared" si="12"/>
        <v>131.13454545454545</v>
      </c>
      <c r="O14" s="115" t="s">
        <v>177</v>
      </c>
      <c r="P14" s="114">
        <v>9677</v>
      </c>
      <c r="Q14" s="67">
        <f t="shared" si="3"/>
        <v>5128.8100000000004</v>
      </c>
      <c r="R14" s="50">
        <f t="shared" si="4"/>
        <v>116.56386363636365</v>
      </c>
      <c r="S14" s="13" t="s">
        <v>287</v>
      </c>
      <c r="T14" s="114">
        <v>7830</v>
      </c>
      <c r="U14" s="67">
        <f t="shared" si="5"/>
        <v>4228.2</v>
      </c>
      <c r="V14" s="50">
        <f t="shared" si="6"/>
        <v>96.095454545454544</v>
      </c>
      <c r="W14" s="115" t="s">
        <v>77</v>
      </c>
      <c r="X14" s="114">
        <v>11470</v>
      </c>
      <c r="Y14" s="67">
        <f t="shared" si="7"/>
        <v>6423.2</v>
      </c>
      <c r="Z14" s="50">
        <f t="shared" si="8"/>
        <v>145.98181818181817</v>
      </c>
      <c r="AA14" s="115" t="s">
        <v>81</v>
      </c>
      <c r="AB14" s="114"/>
      <c r="AC14" s="67">
        <v>3078</v>
      </c>
      <c r="AD14" s="50">
        <f t="shared" si="13"/>
        <v>69.954545454545453</v>
      </c>
      <c r="AE14" s="115" t="s">
        <v>88</v>
      </c>
      <c r="AF14" s="114">
        <v>7638</v>
      </c>
      <c r="AG14" s="67">
        <f t="shared" si="9"/>
        <v>4124.5200000000004</v>
      </c>
      <c r="AH14" s="50">
        <f t="shared" si="10"/>
        <v>93.739090909090919</v>
      </c>
    </row>
    <row r="15" spans="2:34" x14ac:dyDescent="0.35">
      <c r="B15" s="8" t="s">
        <v>5</v>
      </c>
      <c r="C15" s="81" t="s">
        <v>289</v>
      </c>
      <c r="D15" s="101"/>
      <c r="E15" s="67">
        <v>4500</v>
      </c>
      <c r="F15" s="261">
        <f t="shared" si="0"/>
        <v>97.553361688843808</v>
      </c>
      <c r="G15" s="13" t="s">
        <v>47</v>
      </c>
      <c r="H15" s="114">
        <v>9414</v>
      </c>
      <c r="I15" s="67">
        <f t="shared" si="1"/>
        <v>4612.8599999999997</v>
      </c>
      <c r="J15" s="11">
        <v>100</v>
      </c>
      <c r="K15" s="13" t="s">
        <v>69</v>
      </c>
      <c r="L15" s="114">
        <v>9727</v>
      </c>
      <c r="M15" s="84">
        <f t="shared" si="11"/>
        <v>5914.0159999999996</v>
      </c>
      <c r="N15" s="50">
        <f t="shared" si="12"/>
        <v>131.42257777777778</v>
      </c>
      <c r="O15" s="115" t="s">
        <v>177</v>
      </c>
      <c r="P15" s="114">
        <v>10142</v>
      </c>
      <c r="Q15" s="67">
        <f t="shared" si="3"/>
        <v>5375.26</v>
      </c>
      <c r="R15" s="50">
        <f t="shared" si="4"/>
        <v>119.45022222222222</v>
      </c>
      <c r="S15" s="13" t="s">
        <v>36</v>
      </c>
      <c r="T15" s="114">
        <v>8300</v>
      </c>
      <c r="U15" s="67">
        <f t="shared" si="5"/>
        <v>4482</v>
      </c>
      <c r="V15" s="50">
        <f t="shared" si="6"/>
        <v>99.6</v>
      </c>
      <c r="W15" s="115" t="s">
        <v>76</v>
      </c>
      <c r="X15" s="114">
        <v>13195</v>
      </c>
      <c r="Y15" s="67">
        <f t="shared" si="7"/>
        <v>7389.2</v>
      </c>
      <c r="Z15" s="50">
        <f t="shared" si="8"/>
        <v>164.20444444444445</v>
      </c>
      <c r="AA15" s="115" t="s">
        <v>80</v>
      </c>
      <c r="AB15" s="114"/>
      <c r="AC15" s="67">
        <v>3149</v>
      </c>
      <c r="AD15" s="50">
        <f t="shared" si="13"/>
        <v>69.977777777777774</v>
      </c>
      <c r="AE15" s="115" t="s">
        <v>88</v>
      </c>
      <c r="AF15" s="114">
        <v>7942</v>
      </c>
      <c r="AG15" s="67">
        <f t="shared" si="9"/>
        <v>4288.68</v>
      </c>
      <c r="AH15" s="50">
        <f t="shared" si="10"/>
        <v>95.304000000000002</v>
      </c>
    </row>
    <row r="16" spans="2:34" x14ac:dyDescent="0.35">
      <c r="B16" s="8" t="s">
        <v>7</v>
      </c>
      <c r="C16" s="81" t="s">
        <v>66</v>
      </c>
      <c r="D16" s="101"/>
      <c r="E16" s="67">
        <v>4400</v>
      </c>
      <c r="F16" s="261">
        <f t="shared" si="0"/>
        <v>113.62257164032259</v>
      </c>
      <c r="G16" s="13" t="s">
        <v>67</v>
      </c>
      <c r="H16" s="114">
        <v>7903</v>
      </c>
      <c r="I16" s="67">
        <f t="shared" si="1"/>
        <v>3872.47</v>
      </c>
      <c r="J16" s="11">
        <v>100</v>
      </c>
      <c r="K16" s="13" t="s">
        <v>176</v>
      </c>
      <c r="L16" s="114">
        <v>7990</v>
      </c>
      <c r="M16" s="84">
        <f t="shared" si="11"/>
        <v>4857.92</v>
      </c>
      <c r="N16" s="50">
        <f t="shared" si="12"/>
        <v>110.40727272727273</v>
      </c>
      <c r="O16" s="115" t="s">
        <v>177</v>
      </c>
      <c r="P16" s="114">
        <v>8680</v>
      </c>
      <c r="Q16" s="67">
        <f t="shared" si="3"/>
        <v>4600.3999999999996</v>
      </c>
      <c r="R16" s="50">
        <f t="shared" si="4"/>
        <v>104.55454545454545</v>
      </c>
      <c r="S16" s="13" t="s">
        <v>37</v>
      </c>
      <c r="T16" s="114">
        <v>6733</v>
      </c>
      <c r="U16" s="67">
        <f t="shared" si="5"/>
        <v>3635.8199999999997</v>
      </c>
      <c r="V16" s="50">
        <f t="shared" si="6"/>
        <v>82.632272727272721</v>
      </c>
      <c r="W16" s="115" t="s">
        <v>50</v>
      </c>
      <c r="X16" s="114">
        <v>11157</v>
      </c>
      <c r="Y16" s="67">
        <f t="shared" si="7"/>
        <v>6247.92</v>
      </c>
      <c r="Z16" s="50">
        <f t="shared" si="8"/>
        <v>141.99818181818182</v>
      </c>
      <c r="AA16" s="115" t="s">
        <v>84</v>
      </c>
      <c r="AB16" s="114"/>
      <c r="AC16" s="67">
        <v>2377</v>
      </c>
      <c r="AD16" s="50">
        <f t="shared" si="13"/>
        <v>54.022727272727273</v>
      </c>
      <c r="AE16" s="115" t="s">
        <v>87</v>
      </c>
      <c r="AF16" s="114">
        <v>6455</v>
      </c>
      <c r="AG16" s="67">
        <f t="shared" si="9"/>
        <v>3485.7</v>
      </c>
      <c r="AH16" s="50">
        <f t="shared" si="10"/>
        <v>79.220454545454544</v>
      </c>
    </row>
    <row r="17" spans="2:34" x14ac:dyDescent="0.35">
      <c r="B17" s="8" t="s">
        <v>167</v>
      </c>
      <c r="C17" s="81" t="s">
        <v>66</v>
      </c>
      <c r="D17" s="101"/>
      <c r="E17" s="67">
        <v>4750</v>
      </c>
      <c r="F17" s="261">
        <f t="shared" si="0"/>
        <v>105.0257589493002</v>
      </c>
      <c r="G17" s="13" t="s">
        <v>47</v>
      </c>
      <c r="H17" s="114">
        <v>9230</v>
      </c>
      <c r="I17" s="67">
        <f t="shared" si="1"/>
        <v>4522.7</v>
      </c>
      <c r="J17" s="11">
        <v>100</v>
      </c>
      <c r="K17" s="13" t="s">
        <v>69</v>
      </c>
      <c r="L17" s="114">
        <v>9432</v>
      </c>
      <c r="M17" s="84">
        <f t="shared" si="11"/>
        <v>5734.6559999999999</v>
      </c>
      <c r="N17" s="50">
        <f t="shared" si="12"/>
        <v>120.72959999999999</v>
      </c>
      <c r="O17" s="115" t="s">
        <v>72</v>
      </c>
      <c r="P17" s="114">
        <v>8714</v>
      </c>
      <c r="Q17" s="67">
        <f t="shared" si="3"/>
        <v>4618.42</v>
      </c>
      <c r="R17" s="50">
        <f t="shared" si="4"/>
        <v>97.229894736842098</v>
      </c>
      <c r="S17" s="13" t="s">
        <v>49</v>
      </c>
      <c r="T17" s="114">
        <v>8143</v>
      </c>
      <c r="U17" s="67">
        <f t="shared" si="5"/>
        <v>4397.2199999999993</v>
      </c>
      <c r="V17" s="50">
        <f t="shared" si="6"/>
        <v>92.573052631578932</v>
      </c>
      <c r="W17" s="115" t="s">
        <v>76</v>
      </c>
      <c r="X17" s="114">
        <v>13195</v>
      </c>
      <c r="Y17" s="67">
        <f t="shared" si="7"/>
        <v>7389.2</v>
      </c>
      <c r="Z17" s="50">
        <f t="shared" si="8"/>
        <v>155.56210526315789</v>
      </c>
      <c r="AA17" s="115" t="s">
        <v>80</v>
      </c>
      <c r="AB17" s="114"/>
      <c r="AC17" s="67">
        <v>2868</v>
      </c>
      <c r="AD17" s="50">
        <f t="shared" si="13"/>
        <v>60.378947368421052</v>
      </c>
      <c r="AE17" s="115" t="s">
        <v>87</v>
      </c>
      <c r="AF17" s="114">
        <v>7494</v>
      </c>
      <c r="AG17" s="67">
        <f t="shared" si="9"/>
        <v>4046.7599999999998</v>
      </c>
      <c r="AH17" s="50">
        <f t="shared" si="10"/>
        <v>85.194947368421055</v>
      </c>
    </row>
    <row r="18" spans="2:34" x14ac:dyDescent="0.35">
      <c r="B18" s="8" t="s">
        <v>166</v>
      </c>
      <c r="C18" s="81" t="s">
        <v>65</v>
      </c>
      <c r="D18" s="101"/>
      <c r="E18" s="67">
        <v>4550</v>
      </c>
      <c r="F18" s="261">
        <f t="shared" si="0"/>
        <v>100.6036217303823</v>
      </c>
      <c r="G18" s="13" t="s">
        <v>47</v>
      </c>
      <c r="H18" s="114">
        <v>9230</v>
      </c>
      <c r="I18" s="67">
        <f t="shared" si="1"/>
        <v>4522.7</v>
      </c>
      <c r="J18" s="11">
        <v>100</v>
      </c>
      <c r="K18" s="13" t="s">
        <v>70</v>
      </c>
      <c r="L18" s="114">
        <v>9614</v>
      </c>
      <c r="M18" s="84">
        <f t="shared" si="11"/>
        <v>5845.3119999999999</v>
      </c>
      <c r="N18" s="50">
        <f t="shared" si="12"/>
        <v>128.4683956043956</v>
      </c>
      <c r="O18" s="115" t="s">
        <v>73</v>
      </c>
      <c r="P18" s="114">
        <v>10325</v>
      </c>
      <c r="Q18" s="67">
        <f t="shared" si="3"/>
        <v>5472.25</v>
      </c>
      <c r="R18" s="50">
        <f t="shared" si="4"/>
        <v>120.26923076923077</v>
      </c>
      <c r="S18" s="13" t="s">
        <v>36</v>
      </c>
      <c r="T18" s="114">
        <v>8143</v>
      </c>
      <c r="U18" s="67">
        <f t="shared" si="5"/>
        <v>4397.2199999999993</v>
      </c>
      <c r="V18" s="50">
        <f t="shared" si="6"/>
        <v>96.642197802197785</v>
      </c>
      <c r="W18" s="115" t="s">
        <v>78</v>
      </c>
      <c r="X18" s="114">
        <v>13064</v>
      </c>
      <c r="Y18" s="67">
        <f t="shared" si="7"/>
        <v>7315.84</v>
      </c>
      <c r="Z18" s="50">
        <f t="shared" si="8"/>
        <v>160.78769230769231</v>
      </c>
      <c r="AA18" s="115" t="s">
        <v>82</v>
      </c>
      <c r="AB18" s="114"/>
      <c r="AC18" s="67">
        <v>2999</v>
      </c>
      <c r="AD18" s="50">
        <f t="shared" si="13"/>
        <v>65.912087912087912</v>
      </c>
      <c r="AE18" s="115" t="s">
        <v>88</v>
      </c>
      <c r="AF18" s="114">
        <v>7721</v>
      </c>
      <c r="AG18" s="67">
        <f t="shared" si="9"/>
        <v>4169.34</v>
      </c>
      <c r="AH18" s="50">
        <f t="shared" si="10"/>
        <v>91.63384615384615</v>
      </c>
    </row>
    <row r="19" spans="2:34" x14ac:dyDescent="0.35">
      <c r="B19" s="8"/>
      <c r="C19" s="81"/>
      <c r="D19" s="101"/>
      <c r="E19" s="67"/>
      <c r="F19" s="261"/>
      <c r="G19" s="13"/>
      <c r="H19" s="114"/>
      <c r="I19" s="67"/>
      <c r="J19" s="11"/>
      <c r="K19" s="13"/>
      <c r="L19" s="114"/>
      <c r="M19" s="84"/>
      <c r="N19" s="50"/>
      <c r="O19" s="13"/>
      <c r="P19" s="114"/>
      <c r="Q19" s="67"/>
      <c r="R19" s="50"/>
      <c r="S19" s="13"/>
      <c r="T19" s="114"/>
      <c r="U19" s="67"/>
      <c r="V19" s="50"/>
      <c r="W19" s="13"/>
      <c r="X19" s="114"/>
      <c r="Y19" s="67"/>
      <c r="Z19" s="50"/>
      <c r="AA19" s="13"/>
      <c r="AB19" s="114"/>
      <c r="AC19" s="67"/>
      <c r="AD19" s="50"/>
      <c r="AE19" s="13"/>
      <c r="AF19" s="114"/>
      <c r="AG19" s="67"/>
      <c r="AH19" s="50"/>
    </row>
    <row r="20" spans="2:34" x14ac:dyDescent="0.35">
      <c r="B20" s="7" t="s">
        <v>12</v>
      </c>
      <c r="C20" s="81"/>
      <c r="D20" s="101"/>
      <c r="E20" s="67"/>
      <c r="F20" s="261"/>
      <c r="G20" s="13"/>
      <c r="H20" s="114"/>
      <c r="I20" s="67"/>
      <c r="J20" s="11"/>
      <c r="K20" s="13"/>
      <c r="L20" s="114"/>
      <c r="M20" s="84"/>
      <c r="N20" s="50"/>
      <c r="O20" s="13"/>
      <c r="P20" s="114"/>
      <c r="Q20" s="67"/>
      <c r="R20" s="50"/>
      <c r="S20" s="13"/>
      <c r="T20" s="114"/>
      <c r="U20" s="67"/>
      <c r="V20" s="50"/>
      <c r="W20" s="13"/>
      <c r="X20" s="114"/>
      <c r="Y20" s="67"/>
      <c r="Z20" s="50"/>
      <c r="AA20" s="13"/>
      <c r="AB20" s="114"/>
      <c r="AC20" s="67"/>
      <c r="AD20" s="50"/>
      <c r="AE20" s="13"/>
      <c r="AF20" s="114"/>
      <c r="AG20" s="67"/>
      <c r="AH20" s="50"/>
    </row>
    <row r="21" spans="2:34" x14ac:dyDescent="0.35">
      <c r="B21" s="8" t="s">
        <v>4</v>
      </c>
      <c r="C21" s="81" t="s">
        <v>175</v>
      </c>
      <c r="D21" s="101"/>
      <c r="E21" s="67">
        <v>4950</v>
      </c>
      <c r="F21" s="261">
        <f t="shared" si="0"/>
        <v>111.92156898212421</v>
      </c>
      <c r="G21" s="13" t="s">
        <v>48</v>
      </c>
      <c r="H21" s="114">
        <v>9026</v>
      </c>
      <c r="I21" s="67">
        <f t="shared" si="1"/>
        <v>4422.74</v>
      </c>
      <c r="J21" s="11">
        <v>100</v>
      </c>
      <c r="K21" s="13" t="s">
        <v>71</v>
      </c>
      <c r="L21" s="114">
        <v>8990</v>
      </c>
      <c r="M21" s="84">
        <f t="shared" si="11"/>
        <v>5465.92</v>
      </c>
      <c r="N21" s="50">
        <f t="shared" si="12"/>
        <v>110.42262626262627</v>
      </c>
      <c r="O21" s="115" t="s">
        <v>178</v>
      </c>
      <c r="P21" s="114">
        <v>8685</v>
      </c>
      <c r="Q21" s="67">
        <f t="shared" si="3"/>
        <v>4603.05</v>
      </c>
      <c r="R21" s="50">
        <f t="shared" si="4"/>
        <v>92.990909090909085</v>
      </c>
      <c r="S21" s="13" t="s">
        <v>35</v>
      </c>
      <c r="T21" s="114">
        <v>8300</v>
      </c>
      <c r="U21" s="67">
        <f t="shared" si="5"/>
        <v>4482</v>
      </c>
      <c r="V21" s="50">
        <f t="shared" si="6"/>
        <v>90.545454545454547</v>
      </c>
      <c r="W21" s="115" t="s">
        <v>229</v>
      </c>
      <c r="X21" s="114">
        <v>11944</v>
      </c>
      <c r="Y21" s="67">
        <f t="shared" si="7"/>
        <v>6688.64</v>
      </c>
      <c r="Z21" s="50">
        <f t="shared" si="8"/>
        <v>135.12404040404041</v>
      </c>
      <c r="AA21" s="115" t="s">
        <v>83</v>
      </c>
      <c r="AB21" s="114"/>
      <c r="AC21" s="67">
        <v>3270</v>
      </c>
      <c r="AD21" s="50">
        <f t="shared" si="13"/>
        <v>66.060606060606062</v>
      </c>
      <c r="AE21" s="115" t="s">
        <v>180</v>
      </c>
      <c r="AF21" s="114">
        <v>8631</v>
      </c>
      <c r="AG21" s="67">
        <f t="shared" si="9"/>
        <v>4660.74</v>
      </c>
      <c r="AH21" s="50">
        <f t="shared" si="10"/>
        <v>94.156363636363636</v>
      </c>
    </row>
    <row r="22" spans="2:34" x14ac:dyDescent="0.35">
      <c r="B22" s="8" t="s">
        <v>8</v>
      </c>
      <c r="C22" s="81" t="s">
        <v>298</v>
      </c>
      <c r="D22" s="101"/>
      <c r="E22" s="67">
        <v>3250</v>
      </c>
      <c r="F22" s="261">
        <f t="shared" si="0"/>
        <v>116.83376891358975</v>
      </c>
      <c r="G22" s="13" t="s">
        <v>48</v>
      </c>
      <c r="H22" s="114">
        <v>5677</v>
      </c>
      <c r="I22" s="67">
        <f t="shared" si="1"/>
        <v>2781.73</v>
      </c>
      <c r="J22" s="11">
        <v>100</v>
      </c>
      <c r="K22" s="13" t="s">
        <v>71</v>
      </c>
      <c r="L22" s="114">
        <v>5867</v>
      </c>
      <c r="M22" s="84">
        <f t="shared" si="11"/>
        <v>3567.136</v>
      </c>
      <c r="N22" s="50">
        <f t="shared" si="12"/>
        <v>109.75803076923076</v>
      </c>
      <c r="O22" s="115" t="s">
        <v>178</v>
      </c>
      <c r="P22" s="114">
        <v>5440</v>
      </c>
      <c r="Q22" s="67">
        <f t="shared" si="3"/>
        <v>2883.2000000000003</v>
      </c>
      <c r="R22" s="50">
        <f t="shared" si="4"/>
        <v>88.713846153846148</v>
      </c>
      <c r="S22" s="13" t="s">
        <v>74</v>
      </c>
      <c r="T22" s="114">
        <v>5481</v>
      </c>
      <c r="U22" s="67">
        <f t="shared" si="5"/>
        <v>2959.74</v>
      </c>
      <c r="V22" s="50">
        <f t="shared" si="6"/>
        <v>91.06892307692307</v>
      </c>
      <c r="W22" s="115" t="s">
        <v>179</v>
      </c>
      <c r="X22" s="114">
        <v>6780</v>
      </c>
      <c r="Y22" s="67">
        <f t="shared" si="7"/>
        <v>3796.8</v>
      </c>
      <c r="Z22" s="50">
        <f t="shared" si="8"/>
        <v>116.82461538461538</v>
      </c>
      <c r="AA22" s="115" t="s">
        <v>84</v>
      </c>
      <c r="AB22" s="114"/>
      <c r="AC22" s="67">
        <v>1818</v>
      </c>
      <c r="AD22" s="50">
        <f t="shared" si="13"/>
        <v>55.938461538461539</v>
      </c>
      <c r="AE22" s="115" t="s">
        <v>181</v>
      </c>
      <c r="AF22" s="114">
        <v>5039</v>
      </c>
      <c r="AG22" s="67">
        <f t="shared" si="9"/>
        <v>2721.06</v>
      </c>
      <c r="AH22" s="50">
        <f t="shared" si="10"/>
        <v>83.724923076923076</v>
      </c>
    </row>
    <row r="23" spans="2:34" x14ac:dyDescent="0.35">
      <c r="D23" s="41"/>
      <c r="E23" s="41"/>
      <c r="F23" s="3"/>
      <c r="K23"/>
      <c r="M23" s="3"/>
      <c r="N23"/>
      <c r="O23"/>
      <c r="P23"/>
      <c r="Q23"/>
      <c r="AB23" s="3"/>
      <c r="AF23" s="3"/>
    </row>
    <row r="24" spans="2:34" x14ac:dyDescent="0.35">
      <c r="D24" s="48"/>
      <c r="E24" s="48">
        <f>SUM(E7:E23)</f>
        <v>55200</v>
      </c>
      <c r="F24" s="48">
        <f>E24*100/$I24</f>
        <v>106.00745393716868</v>
      </c>
      <c r="G24" s="41"/>
      <c r="H24" s="48">
        <f>SUM(H7:H22)</f>
        <v>106269</v>
      </c>
      <c r="I24" s="48">
        <f>SUM(I7:I22)</f>
        <v>52071.810000000005</v>
      </c>
      <c r="J24" s="50">
        <v>100</v>
      </c>
      <c r="K24" s="41"/>
      <c r="L24" s="48">
        <f>SUM(L6:L22)</f>
        <v>109673</v>
      </c>
      <c r="M24" s="48">
        <f>SUM(M7:M22)</f>
        <v>66361.822</v>
      </c>
      <c r="N24" s="48">
        <f>M24*100/$I24</f>
        <v>127.44289472557223</v>
      </c>
      <c r="O24" s="41"/>
      <c r="P24" s="41">
        <f>SUM(P7:P22)</f>
        <v>109800</v>
      </c>
      <c r="Q24" s="41">
        <f>SUM(Q7:Q22)</f>
        <v>58194.000000000007</v>
      </c>
      <c r="R24" s="48">
        <f>Q24*100/$I24</f>
        <v>111.75720605832601</v>
      </c>
      <c r="S24" s="41"/>
      <c r="T24" s="41">
        <f>SUM(T7:T22)</f>
        <v>94278</v>
      </c>
      <c r="U24" s="41">
        <f>SUM(U7:U22)</f>
        <v>50910.12</v>
      </c>
      <c r="V24" s="48">
        <f>U24*100/$I24</f>
        <v>97.769061609342941</v>
      </c>
      <c r="W24" s="41"/>
      <c r="X24" s="48">
        <f>SUM(X7:X22)</f>
        <v>147657</v>
      </c>
      <c r="Y24" s="48">
        <f>SUM(Y7:Y22)</f>
        <v>82687.92</v>
      </c>
      <c r="Z24" s="48">
        <f>Y24*100/$I24</f>
        <v>158.7959396840632</v>
      </c>
      <c r="AA24" s="41"/>
      <c r="AB24" s="48"/>
      <c r="AC24" s="48">
        <f>SUM(AC13:AC22)</f>
        <v>22324</v>
      </c>
      <c r="AD24" s="168"/>
      <c r="AE24" s="41"/>
      <c r="AF24" s="48">
        <f>SUM(AF7:AF22)</f>
        <v>89723</v>
      </c>
      <c r="AG24" s="48">
        <f>SUM(AG7:AG22)</f>
        <v>48450.419999999991</v>
      </c>
      <c r="AH24" s="48">
        <f>AG24*100/$I24</f>
        <v>93.045392507001367</v>
      </c>
    </row>
    <row r="25" spans="2:34" x14ac:dyDescent="0.35">
      <c r="N25"/>
      <c r="O25"/>
      <c r="P25"/>
      <c r="Q25"/>
    </row>
    <row r="26" spans="2:34" x14ac:dyDescent="0.35">
      <c r="H26" s="259" t="s">
        <v>299</v>
      </c>
      <c r="I26" s="260">
        <f>SUM(I13:I22)</f>
        <v>33480.720000000008</v>
      </c>
      <c r="J26" s="66"/>
      <c r="N26"/>
      <c r="O26"/>
      <c r="P26"/>
      <c r="Q26"/>
    </row>
    <row r="27" spans="2:34" x14ac:dyDescent="0.35">
      <c r="C27" s="3"/>
      <c r="D27" s="3"/>
      <c r="E27" s="3"/>
    </row>
    <row r="29" spans="2:34" x14ac:dyDescent="0.35">
      <c r="B29" s="42" t="s">
        <v>59</v>
      </c>
      <c r="C29" s="43" t="s">
        <v>89</v>
      </c>
      <c r="D29" s="43" t="s">
        <v>56</v>
      </c>
      <c r="J29" s="3"/>
    </row>
    <row r="30" spans="2:34" x14ac:dyDescent="0.35">
      <c r="B30" s="6" t="s">
        <v>0</v>
      </c>
      <c r="C30" s="65" t="s">
        <v>79</v>
      </c>
      <c r="D30" s="44" t="s">
        <v>79</v>
      </c>
      <c r="E30" s="3"/>
      <c r="J30" s="3"/>
    </row>
    <row r="31" spans="2:34" x14ac:dyDescent="0.35">
      <c r="B31" s="6" t="s">
        <v>1</v>
      </c>
      <c r="C31" s="65">
        <f>H24</f>
        <v>106269</v>
      </c>
      <c r="D31" s="44">
        <v>100</v>
      </c>
      <c r="E31" s="111"/>
      <c r="J31" s="3"/>
    </row>
    <row r="32" spans="2:34" x14ac:dyDescent="0.35">
      <c r="B32" s="6" t="s">
        <v>31</v>
      </c>
      <c r="C32" s="65">
        <f>L24</f>
        <v>109673</v>
      </c>
      <c r="D32" s="44">
        <f>C32*100/C$31</f>
        <v>103.20319189980145</v>
      </c>
      <c r="E32" s="111"/>
      <c r="J32" s="3"/>
    </row>
    <row r="33" spans="2:10" x14ac:dyDescent="0.35">
      <c r="B33" s="6" t="s">
        <v>2</v>
      </c>
      <c r="C33" s="65">
        <f>P24</f>
        <v>109800</v>
      </c>
      <c r="D33" s="44">
        <f>C33*100/C$31</f>
        <v>103.32269994071649</v>
      </c>
      <c r="E33" s="111"/>
      <c r="J33" s="3"/>
    </row>
    <row r="34" spans="2:10" x14ac:dyDescent="0.35">
      <c r="B34" s="6" t="s">
        <v>38</v>
      </c>
      <c r="C34" s="65">
        <f>T24</f>
        <v>94278</v>
      </c>
      <c r="D34" s="44">
        <f>C34*100/C$31</f>
        <v>88.716370719588966</v>
      </c>
      <c r="E34" s="111"/>
      <c r="J34" s="3"/>
    </row>
    <row r="35" spans="2:10" x14ac:dyDescent="0.35">
      <c r="B35" s="81" t="s">
        <v>45</v>
      </c>
      <c r="C35" s="101">
        <f>X24</f>
        <v>147657</v>
      </c>
      <c r="D35" s="44">
        <f>C35*100/C$31</f>
        <v>138.94644722355531</v>
      </c>
      <c r="E35" s="111"/>
      <c r="J35" s="3"/>
    </row>
    <row r="36" spans="2:10" x14ac:dyDescent="0.35">
      <c r="B36" s="81" t="s">
        <v>57</v>
      </c>
      <c r="C36" s="114" t="s">
        <v>79</v>
      </c>
      <c r="D36" s="163" t="s">
        <v>79</v>
      </c>
      <c r="J36" s="3"/>
    </row>
    <row r="37" spans="2:10" x14ac:dyDescent="0.35">
      <c r="B37" s="81" t="s">
        <v>58</v>
      </c>
      <c r="C37" s="101">
        <f>AF24</f>
        <v>89723</v>
      </c>
      <c r="D37" s="44">
        <f>C37*100/C$31</f>
        <v>84.430078385982739</v>
      </c>
      <c r="J37" s="3"/>
    </row>
    <row r="38" spans="2:10" x14ac:dyDescent="0.35">
      <c r="J38" s="3"/>
    </row>
    <row r="39" spans="2:10" x14ac:dyDescent="0.35">
      <c r="J39" s="3"/>
    </row>
    <row r="40" spans="2:10" x14ac:dyDescent="0.35">
      <c r="B40" s="42" t="s">
        <v>54</v>
      </c>
      <c r="C40" s="43" t="s">
        <v>60</v>
      </c>
      <c r="D40" s="43" t="s">
        <v>61</v>
      </c>
      <c r="J40" s="3"/>
    </row>
    <row r="41" spans="2:10" x14ac:dyDescent="0.35">
      <c r="B41" s="6" t="s">
        <v>1</v>
      </c>
      <c r="C41" s="65">
        <f>I24</f>
        <v>52071.810000000005</v>
      </c>
      <c r="D41" s="47">
        <v>100</v>
      </c>
      <c r="J41" s="3"/>
    </row>
    <row r="42" spans="2:10" x14ac:dyDescent="0.35">
      <c r="B42" s="6" t="s">
        <v>0</v>
      </c>
      <c r="C42" s="65">
        <f>E24</f>
        <v>55200</v>
      </c>
      <c r="D42" s="44">
        <f>C42*100/C$41</f>
        <v>106.00745393716868</v>
      </c>
      <c r="J42" s="3"/>
    </row>
    <row r="43" spans="2:10" x14ac:dyDescent="0.35">
      <c r="B43" s="6" t="s">
        <v>31</v>
      </c>
      <c r="C43" s="65">
        <f>M24</f>
        <v>66361.822</v>
      </c>
      <c r="D43" s="44">
        <f t="shared" ref="D43:D48" si="14">C43*100/C$41</f>
        <v>127.44289472557223</v>
      </c>
      <c r="J43" s="3"/>
    </row>
    <row r="44" spans="2:10" x14ac:dyDescent="0.35">
      <c r="B44" s="6" t="s">
        <v>2</v>
      </c>
      <c r="C44" s="65">
        <f>Q24</f>
        <v>58194.000000000007</v>
      </c>
      <c r="D44" s="44">
        <f t="shared" si="14"/>
        <v>111.75720605832601</v>
      </c>
      <c r="J44" s="3"/>
    </row>
    <row r="45" spans="2:10" x14ac:dyDescent="0.35">
      <c r="B45" s="6" t="s">
        <v>38</v>
      </c>
      <c r="C45" s="65">
        <f>U24</f>
        <v>50910.12</v>
      </c>
      <c r="D45" s="44">
        <f t="shared" si="14"/>
        <v>97.769061609342941</v>
      </c>
    </row>
    <row r="46" spans="2:10" x14ac:dyDescent="0.35">
      <c r="B46" s="81" t="s">
        <v>45</v>
      </c>
      <c r="C46" s="101">
        <f>Y24</f>
        <v>82687.92</v>
      </c>
      <c r="D46" s="44">
        <f t="shared" si="14"/>
        <v>158.7959396840632</v>
      </c>
    </row>
    <row r="47" spans="2:10" x14ac:dyDescent="0.35">
      <c r="B47" s="81" t="s">
        <v>57</v>
      </c>
      <c r="C47" s="101">
        <f>C41*0.667</f>
        <v>34731.897270000009</v>
      </c>
      <c r="D47" s="44">
        <f>AC24*100/33481</f>
        <v>66.676622562050113</v>
      </c>
      <c r="E47" t="s">
        <v>151</v>
      </c>
      <c r="H47" s="3">
        <v>66.7</v>
      </c>
      <c r="J47" s="3"/>
    </row>
    <row r="48" spans="2:10" x14ac:dyDescent="0.35">
      <c r="B48" s="81" t="s">
        <v>58</v>
      </c>
      <c r="C48" s="101">
        <f>AG24</f>
        <v>48450.419999999991</v>
      </c>
      <c r="D48" s="44">
        <f t="shared" si="14"/>
        <v>93.045392507001367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6546-936F-4326-A182-7F11FE8BDB5F}">
  <dimension ref="B3:AH52"/>
  <sheetViews>
    <sheetView topLeftCell="S1" workbookViewId="0">
      <selection activeCell="T17" sqref="T17"/>
    </sheetView>
  </sheetViews>
  <sheetFormatPr baseColWidth="10" defaultRowHeight="14.5" x14ac:dyDescent="0.35"/>
  <cols>
    <col min="1" max="1" width="5.26953125" customWidth="1"/>
    <col min="2" max="2" width="25.453125" customWidth="1"/>
    <col min="6" max="6" width="24.453125" customWidth="1"/>
    <col min="7" max="7" width="18.6328125" customWidth="1"/>
    <col min="8" max="8" width="2.453125" customWidth="1"/>
    <col min="9" max="9" width="17.36328125" customWidth="1"/>
    <col min="13" max="13" width="23.453125" customWidth="1"/>
    <col min="14" max="14" width="20.36328125" customWidth="1"/>
    <col min="15" max="15" width="1.81640625" customWidth="1"/>
    <col min="16" max="16" width="19.54296875" customWidth="1"/>
    <col min="20" max="20" width="24.7265625" customWidth="1"/>
    <col min="21" max="21" width="19.26953125" customWidth="1"/>
    <col min="22" max="22" width="2.36328125" customWidth="1"/>
    <col min="23" max="23" width="17.6328125" customWidth="1"/>
    <col min="24" max="24" width="15.36328125" customWidth="1"/>
    <col min="26" max="26" width="11.7265625" customWidth="1"/>
    <col min="27" max="27" width="24.36328125" customWidth="1"/>
    <col min="28" max="28" width="21.90625" customWidth="1"/>
    <col min="30" max="30" width="16.90625" customWidth="1"/>
    <col min="31" max="31" width="15.90625" customWidth="1"/>
    <col min="33" max="33" width="25.08984375" customWidth="1"/>
    <col min="34" max="34" width="21.1796875" customWidth="1"/>
  </cols>
  <sheetData>
    <row r="3" spans="2:34" ht="15" thickBot="1" x14ac:dyDescent="0.4"/>
    <row r="4" spans="2:34" ht="29" thickBot="1" x14ac:dyDescent="0.7">
      <c r="B4" s="192"/>
      <c r="C4" s="193" t="s">
        <v>205</v>
      </c>
      <c r="D4" s="193"/>
      <c r="E4" s="194"/>
      <c r="F4" s="195"/>
      <c r="G4" s="196"/>
      <c r="I4" s="192"/>
      <c r="J4" s="193" t="s">
        <v>216</v>
      </c>
      <c r="K4" s="193"/>
      <c r="L4" s="194"/>
      <c r="M4" s="195"/>
      <c r="N4" s="196"/>
      <c r="P4" s="192"/>
      <c r="Q4" s="193" t="s">
        <v>221</v>
      </c>
      <c r="R4" s="193"/>
      <c r="S4" s="194"/>
      <c r="T4" s="195"/>
      <c r="U4" s="196"/>
      <c r="W4" s="107"/>
      <c r="X4" s="222" t="s">
        <v>224</v>
      </c>
      <c r="Y4" s="222"/>
      <c r="Z4" s="223"/>
      <c r="AA4" s="224" t="s">
        <v>309</v>
      </c>
      <c r="AB4" s="225"/>
      <c r="AD4" s="192"/>
      <c r="AE4" s="193" t="s">
        <v>245</v>
      </c>
      <c r="AF4" s="193"/>
      <c r="AG4" s="195"/>
      <c r="AH4" s="196"/>
    </row>
    <row r="5" spans="2:34" ht="15" thickBot="1" x14ac:dyDescent="0.4">
      <c r="B5" s="197" t="s">
        <v>9</v>
      </c>
      <c r="C5" s="198" t="s">
        <v>17</v>
      </c>
      <c r="D5" s="199" t="s">
        <v>14</v>
      </c>
      <c r="E5" s="199" t="s">
        <v>206</v>
      </c>
      <c r="F5" s="199" t="s">
        <v>207</v>
      </c>
      <c r="G5" s="200" t="s">
        <v>291</v>
      </c>
      <c r="I5" s="211" t="s">
        <v>9</v>
      </c>
      <c r="J5" s="212" t="s">
        <v>17</v>
      </c>
      <c r="K5" s="46" t="s">
        <v>14</v>
      </c>
      <c r="L5" s="199" t="s">
        <v>206</v>
      </c>
      <c r="M5" s="199" t="s">
        <v>207</v>
      </c>
      <c r="N5" s="200" t="s">
        <v>291</v>
      </c>
      <c r="P5" s="213" t="s">
        <v>9</v>
      </c>
      <c r="Q5" s="214" t="s">
        <v>17</v>
      </c>
      <c r="R5" s="215" t="s">
        <v>14</v>
      </c>
      <c r="S5" s="199" t="s">
        <v>292</v>
      </c>
      <c r="T5" s="199" t="s">
        <v>207</v>
      </c>
      <c r="U5" s="216" t="s">
        <v>291</v>
      </c>
      <c r="W5" s="213" t="s">
        <v>9</v>
      </c>
      <c r="X5" s="214" t="s">
        <v>17</v>
      </c>
      <c r="Y5" s="215" t="s">
        <v>14</v>
      </c>
      <c r="Z5" s="199" t="s">
        <v>206</v>
      </c>
      <c r="AA5" s="199" t="s">
        <v>207</v>
      </c>
      <c r="AB5" s="216" t="s">
        <v>291</v>
      </c>
      <c r="AD5" s="197" t="s">
        <v>9</v>
      </c>
      <c r="AE5" s="198" t="s">
        <v>17</v>
      </c>
      <c r="AF5" s="199" t="s">
        <v>14</v>
      </c>
      <c r="AG5" s="199" t="s">
        <v>207</v>
      </c>
      <c r="AH5" s="200" t="s">
        <v>291</v>
      </c>
    </row>
    <row r="6" spans="2:34" x14ac:dyDescent="0.35">
      <c r="B6" s="201"/>
      <c r="C6" s="202"/>
      <c r="D6" s="203"/>
      <c r="E6" s="204">
        <v>0.35</v>
      </c>
      <c r="F6" s="204">
        <v>0.12</v>
      </c>
      <c r="G6" s="205">
        <v>0.1</v>
      </c>
      <c r="I6" s="201"/>
      <c r="J6" s="202"/>
      <c r="K6" s="203"/>
      <c r="L6" s="204">
        <v>0.42</v>
      </c>
      <c r="M6" s="204" t="s">
        <v>217</v>
      </c>
      <c r="N6" s="205">
        <v>0.09</v>
      </c>
      <c r="P6" s="217"/>
      <c r="Q6" s="218"/>
      <c r="R6" s="219"/>
      <c r="S6" s="220"/>
      <c r="T6" s="220" t="s">
        <v>182</v>
      </c>
      <c r="U6" s="221">
        <v>0.09</v>
      </c>
      <c r="W6" s="217"/>
      <c r="X6" s="218"/>
      <c r="Y6" s="219"/>
      <c r="Z6" s="220">
        <v>0.42</v>
      </c>
      <c r="AA6" s="220">
        <v>0.44</v>
      </c>
      <c r="AB6" s="226">
        <v>0.09</v>
      </c>
      <c r="AD6" s="217"/>
      <c r="AE6" s="218"/>
      <c r="AF6" s="219"/>
      <c r="AG6" s="220">
        <v>0.55000000000000004</v>
      </c>
      <c r="AH6" s="226">
        <v>7.0000000000000007E-2</v>
      </c>
    </row>
    <row r="7" spans="2:34" x14ac:dyDescent="0.35">
      <c r="B7" s="206" t="s">
        <v>11</v>
      </c>
      <c r="C7" s="81"/>
      <c r="D7" s="101"/>
      <c r="E7" s="101"/>
      <c r="F7" s="114"/>
      <c r="G7" s="11"/>
      <c r="I7" s="206" t="s">
        <v>11</v>
      </c>
      <c r="J7" s="81"/>
      <c r="K7" s="101"/>
      <c r="L7" s="101"/>
      <c r="M7" s="114"/>
      <c r="N7" s="11"/>
      <c r="P7" s="206" t="s">
        <v>11</v>
      </c>
      <c r="Q7" s="81"/>
      <c r="R7" s="81"/>
      <c r="S7" s="114"/>
      <c r="T7" s="114"/>
      <c r="U7" s="11"/>
      <c r="W7" s="206" t="s">
        <v>11</v>
      </c>
      <c r="X7" s="81"/>
      <c r="Y7" s="101"/>
      <c r="Z7" s="101"/>
      <c r="AA7" s="114"/>
      <c r="AB7" s="11"/>
      <c r="AD7" s="206" t="s">
        <v>11</v>
      </c>
      <c r="AE7" s="81"/>
      <c r="AF7" s="101"/>
      <c r="AG7" s="114"/>
      <c r="AH7" s="11"/>
    </row>
    <row r="8" spans="2:34" x14ac:dyDescent="0.35">
      <c r="B8" s="10" t="s">
        <v>164</v>
      </c>
      <c r="C8" s="115" t="s">
        <v>208</v>
      </c>
      <c r="D8" s="101">
        <v>4620</v>
      </c>
      <c r="E8" s="101">
        <f>D8*0.65</f>
        <v>3003</v>
      </c>
      <c r="F8" s="101">
        <f>E8-(E8*F$6)</f>
        <v>2642.64</v>
      </c>
      <c r="G8" s="84">
        <f>F8-(F8*G$6)</f>
        <v>2378.3759999999997</v>
      </c>
      <c r="I8" s="10" t="s">
        <v>164</v>
      </c>
      <c r="J8" s="115" t="s">
        <v>218</v>
      </c>
      <c r="K8" s="101">
        <v>5320</v>
      </c>
      <c r="L8" s="101">
        <f t="shared" ref="L8:L13" si="0">K8-(K8*L$6)</f>
        <v>3085.6</v>
      </c>
      <c r="M8" s="101">
        <f>L8-350</f>
        <v>2735.6</v>
      </c>
      <c r="N8" s="84">
        <f t="shared" ref="N8:N13" si="1">M8-(M8*N$6)</f>
        <v>2489.3959999999997</v>
      </c>
      <c r="P8" s="10" t="s">
        <v>164</v>
      </c>
      <c r="Q8" s="115" t="s">
        <v>222</v>
      </c>
      <c r="R8" s="101"/>
      <c r="S8" s="101">
        <v>2300</v>
      </c>
      <c r="T8" s="101">
        <f>S8</f>
        <v>2300</v>
      </c>
      <c r="U8" s="84">
        <f t="shared" ref="U8:U13" si="2">T8-(T8*U$6)</f>
        <v>2093</v>
      </c>
      <c r="W8" s="10" t="s">
        <v>164</v>
      </c>
      <c r="X8" s="115" t="s">
        <v>225</v>
      </c>
      <c r="Y8" s="101">
        <v>7488</v>
      </c>
      <c r="Z8" s="101">
        <f t="shared" ref="Z8:Z13" si="3">Y8-(Y8*L$6)</f>
        <v>4343.04</v>
      </c>
      <c r="AA8" s="101">
        <f>Y8-(Y8*(AA$6))</f>
        <v>4193.2800000000007</v>
      </c>
      <c r="AB8" s="84">
        <f t="shared" ref="AB8:AB13" si="4">AA8-(AA8*AB$6)</f>
        <v>3815.8848000000007</v>
      </c>
      <c r="AD8" s="10" t="s">
        <v>164</v>
      </c>
      <c r="AE8" s="115" t="s">
        <v>246</v>
      </c>
      <c r="AF8" s="101">
        <v>6739</v>
      </c>
      <c r="AG8" s="101">
        <f>AF8-(AF8*AG$6)</f>
        <v>3032.5499999999997</v>
      </c>
      <c r="AH8" s="84">
        <f>AG8-(AG8*AH$6)</f>
        <v>2820.2714999999998</v>
      </c>
    </row>
    <row r="9" spans="2:34" x14ac:dyDescent="0.35">
      <c r="B9" s="10" t="s">
        <v>209</v>
      </c>
      <c r="C9" s="115">
        <v>841</v>
      </c>
      <c r="D9" s="101">
        <v>4515</v>
      </c>
      <c r="E9" s="101">
        <f t="shared" ref="E9:E17" si="5">D9*0.65</f>
        <v>2934.75</v>
      </c>
      <c r="F9" s="101">
        <f t="shared" ref="F9:G17" si="6">E9-(E9*F$6)</f>
        <v>2582.58</v>
      </c>
      <c r="G9" s="84">
        <f t="shared" si="6"/>
        <v>2324.3220000000001</v>
      </c>
      <c r="I9" s="10" t="s">
        <v>209</v>
      </c>
      <c r="J9" s="115" t="s">
        <v>88</v>
      </c>
      <c r="K9" s="101">
        <v>5320</v>
      </c>
      <c r="L9" s="101">
        <f t="shared" si="0"/>
        <v>3085.6</v>
      </c>
      <c r="M9" s="101">
        <f t="shared" ref="M9:M17" si="7">L9-350</f>
        <v>2735.6</v>
      </c>
      <c r="N9" s="84">
        <f t="shared" si="1"/>
        <v>2489.3959999999997</v>
      </c>
      <c r="P9" s="10" t="s">
        <v>209</v>
      </c>
      <c r="Q9" s="115" t="s">
        <v>223</v>
      </c>
      <c r="R9" s="101"/>
      <c r="S9" s="101">
        <v>2300</v>
      </c>
      <c r="T9" s="101">
        <f t="shared" ref="T9:T17" si="8">S9</f>
        <v>2300</v>
      </c>
      <c r="U9" s="84">
        <f t="shared" si="2"/>
        <v>2093</v>
      </c>
      <c r="W9" s="10" t="s">
        <v>209</v>
      </c>
      <c r="X9" s="115" t="s">
        <v>226</v>
      </c>
      <c r="Y9" s="101">
        <v>7874</v>
      </c>
      <c r="Z9" s="101">
        <f t="shared" si="3"/>
        <v>4566.92</v>
      </c>
      <c r="AA9" s="101">
        <f t="shared" ref="AA9:AA13" si="9">Y9-(Y9*(AA$6))</f>
        <v>4409.4400000000005</v>
      </c>
      <c r="AB9" s="84">
        <f t="shared" si="4"/>
        <v>4012.5904000000005</v>
      </c>
      <c r="AD9" s="10" t="s">
        <v>209</v>
      </c>
      <c r="AE9" s="115" t="s">
        <v>249</v>
      </c>
      <c r="AF9" s="101">
        <v>6882</v>
      </c>
      <c r="AG9" s="101">
        <f>AF9-(AF9*AG$6)</f>
        <v>3096.8999999999996</v>
      </c>
      <c r="AH9" s="84">
        <f t="shared" ref="AH9:AH13" si="10">AG9-(AG9*AH$6)</f>
        <v>2880.1169999999997</v>
      </c>
    </row>
    <row r="10" spans="2:34" x14ac:dyDescent="0.35">
      <c r="B10" s="10" t="s">
        <v>210</v>
      </c>
      <c r="C10" s="115">
        <v>841</v>
      </c>
      <c r="D10" s="101">
        <v>4890</v>
      </c>
      <c r="E10" s="101">
        <f t="shared" si="5"/>
        <v>3178.5</v>
      </c>
      <c r="F10" s="101">
        <f t="shared" si="6"/>
        <v>2797.08</v>
      </c>
      <c r="G10" s="84">
        <f t="shared" si="6"/>
        <v>2517.3719999999998</v>
      </c>
      <c r="I10" s="10" t="s">
        <v>210</v>
      </c>
      <c r="J10" s="115" t="s">
        <v>219</v>
      </c>
      <c r="K10" s="101">
        <v>5723</v>
      </c>
      <c r="L10" s="101">
        <f t="shared" si="0"/>
        <v>3319.34</v>
      </c>
      <c r="M10" s="101">
        <f t="shared" si="7"/>
        <v>2969.34</v>
      </c>
      <c r="N10" s="84">
        <f t="shared" si="1"/>
        <v>2702.0994000000001</v>
      </c>
      <c r="P10" s="10" t="s">
        <v>210</v>
      </c>
      <c r="Q10" s="115" t="s">
        <v>293</v>
      </c>
      <c r="R10" s="101"/>
      <c r="S10" s="101">
        <v>2400</v>
      </c>
      <c r="T10" s="101">
        <f t="shared" si="8"/>
        <v>2400</v>
      </c>
      <c r="U10" s="84">
        <f t="shared" si="2"/>
        <v>2184</v>
      </c>
      <c r="W10" s="10" t="s">
        <v>210</v>
      </c>
      <c r="X10" s="115" t="s">
        <v>227</v>
      </c>
      <c r="Y10" s="101">
        <v>8042</v>
      </c>
      <c r="Z10" s="101">
        <f t="shared" si="3"/>
        <v>4664.3600000000006</v>
      </c>
      <c r="AA10" s="101">
        <f t="shared" si="9"/>
        <v>4503.5200000000004</v>
      </c>
      <c r="AB10" s="84">
        <f t="shared" si="4"/>
        <v>4098.2032000000008</v>
      </c>
      <c r="AD10" s="10" t="s">
        <v>210</v>
      </c>
      <c r="AE10" s="115" t="s">
        <v>249</v>
      </c>
      <c r="AF10" s="101">
        <v>7249</v>
      </c>
      <c r="AG10" s="101">
        <f>AF10-(AF10*AG$6)</f>
        <v>3262.0499999999997</v>
      </c>
      <c r="AH10" s="84">
        <f t="shared" si="10"/>
        <v>3033.7064999999998</v>
      </c>
    </row>
    <row r="11" spans="2:34" x14ac:dyDescent="0.35">
      <c r="B11" s="10" t="s">
        <v>211</v>
      </c>
      <c r="C11" s="115">
        <v>831</v>
      </c>
      <c r="D11" s="101">
        <v>4185</v>
      </c>
      <c r="E11" s="101">
        <f t="shared" si="5"/>
        <v>2720.25</v>
      </c>
      <c r="F11" s="101">
        <f t="shared" si="6"/>
        <v>2393.8200000000002</v>
      </c>
      <c r="G11" s="84">
        <f t="shared" si="6"/>
        <v>2154.4380000000001</v>
      </c>
      <c r="I11" s="10" t="s">
        <v>211</v>
      </c>
      <c r="J11" s="115" t="s">
        <v>219</v>
      </c>
      <c r="K11" s="101">
        <v>5115</v>
      </c>
      <c r="L11" s="101">
        <f t="shared" si="0"/>
        <v>2966.7000000000003</v>
      </c>
      <c r="M11" s="101">
        <f t="shared" si="7"/>
        <v>2616.7000000000003</v>
      </c>
      <c r="N11" s="84">
        <f t="shared" si="1"/>
        <v>2381.1970000000001</v>
      </c>
      <c r="P11" s="10" t="s">
        <v>211</v>
      </c>
      <c r="Q11" s="115" t="s">
        <v>223</v>
      </c>
      <c r="R11" s="101"/>
      <c r="S11" s="101">
        <v>2300</v>
      </c>
      <c r="T11" s="101">
        <f t="shared" si="8"/>
        <v>2300</v>
      </c>
      <c r="U11" s="84">
        <f t="shared" si="2"/>
        <v>2093</v>
      </c>
      <c r="W11" s="10" t="s">
        <v>211</v>
      </c>
      <c r="X11" s="115" t="s">
        <v>228</v>
      </c>
      <c r="Y11" s="101">
        <v>6862</v>
      </c>
      <c r="Z11" s="101">
        <f t="shared" si="3"/>
        <v>3979.96</v>
      </c>
      <c r="AA11" s="101">
        <f t="shared" si="9"/>
        <v>3842.72</v>
      </c>
      <c r="AB11" s="84">
        <f t="shared" si="4"/>
        <v>3496.8751999999999</v>
      </c>
      <c r="AD11" s="10" t="s">
        <v>211</v>
      </c>
      <c r="AE11" s="115" t="s">
        <v>251</v>
      </c>
      <c r="AF11" s="101">
        <v>5534</v>
      </c>
      <c r="AG11" s="101">
        <f>AF11-(AF11*AG$6)</f>
        <v>2490.2999999999997</v>
      </c>
      <c r="AH11" s="84">
        <f t="shared" si="10"/>
        <v>2315.9789999999998</v>
      </c>
    </row>
    <row r="12" spans="2:34" x14ac:dyDescent="0.35">
      <c r="B12" s="10" t="s">
        <v>167</v>
      </c>
      <c r="C12" s="115" t="s">
        <v>212</v>
      </c>
      <c r="D12" s="101">
        <v>4730</v>
      </c>
      <c r="E12" s="101">
        <f t="shared" si="5"/>
        <v>3074.5</v>
      </c>
      <c r="F12" s="101">
        <f t="shared" si="6"/>
        <v>2705.56</v>
      </c>
      <c r="G12" s="84">
        <f t="shared" si="6"/>
        <v>2435.0039999999999</v>
      </c>
      <c r="I12" s="10" t="s">
        <v>167</v>
      </c>
      <c r="J12" s="115" t="s">
        <v>218</v>
      </c>
      <c r="K12" s="101">
        <v>5320</v>
      </c>
      <c r="L12" s="101">
        <f t="shared" si="0"/>
        <v>3085.6</v>
      </c>
      <c r="M12" s="101">
        <f t="shared" si="7"/>
        <v>2735.6</v>
      </c>
      <c r="N12" s="84">
        <f t="shared" si="1"/>
        <v>2489.3959999999997</v>
      </c>
      <c r="P12" s="10" t="s">
        <v>167</v>
      </c>
      <c r="Q12" s="115" t="s">
        <v>295</v>
      </c>
      <c r="R12" s="101"/>
      <c r="S12" s="101">
        <v>2500</v>
      </c>
      <c r="T12" s="101">
        <f t="shared" si="8"/>
        <v>2500</v>
      </c>
      <c r="U12" s="84">
        <f t="shared" si="2"/>
        <v>2275</v>
      </c>
      <c r="W12" s="10" t="s">
        <v>167</v>
      </c>
      <c r="X12" s="115" t="s">
        <v>225</v>
      </c>
      <c r="Y12" s="101">
        <v>7633</v>
      </c>
      <c r="Z12" s="101">
        <f t="shared" si="3"/>
        <v>4427.1400000000003</v>
      </c>
      <c r="AA12" s="101">
        <f t="shared" si="9"/>
        <v>4274.4799999999996</v>
      </c>
      <c r="AB12" s="84">
        <f t="shared" si="4"/>
        <v>3889.7767999999996</v>
      </c>
      <c r="AD12" s="10" t="s">
        <v>167</v>
      </c>
      <c r="AE12" s="115" t="s">
        <v>252</v>
      </c>
      <c r="AF12" s="101">
        <v>6984</v>
      </c>
      <c r="AG12" s="101">
        <f>AF12-(AF12*AG$6)</f>
        <v>3142.7999999999997</v>
      </c>
      <c r="AH12" s="84">
        <f t="shared" si="10"/>
        <v>2922.8039999999996</v>
      </c>
    </row>
    <row r="13" spans="2:34" x14ac:dyDescent="0.35">
      <c r="B13" s="10" t="s">
        <v>213</v>
      </c>
      <c r="C13" s="115">
        <v>397</v>
      </c>
      <c r="D13" s="101">
        <v>4575</v>
      </c>
      <c r="E13" s="101">
        <f t="shared" si="5"/>
        <v>2973.75</v>
      </c>
      <c r="F13" s="101">
        <f t="shared" si="6"/>
        <v>2616.9</v>
      </c>
      <c r="G13" s="84">
        <f t="shared" si="6"/>
        <v>2355.21</v>
      </c>
      <c r="I13" s="10" t="s">
        <v>213</v>
      </c>
      <c r="J13" s="115" t="s">
        <v>88</v>
      </c>
      <c r="K13" s="101">
        <v>5320</v>
      </c>
      <c r="L13" s="101">
        <f t="shared" si="0"/>
        <v>3085.6</v>
      </c>
      <c r="M13" s="101">
        <f t="shared" si="7"/>
        <v>2735.6</v>
      </c>
      <c r="N13" s="84">
        <f t="shared" si="1"/>
        <v>2489.3959999999997</v>
      </c>
      <c r="P13" s="10" t="s">
        <v>213</v>
      </c>
      <c r="Q13" s="115" t="s">
        <v>294</v>
      </c>
      <c r="R13" s="101"/>
      <c r="S13" s="101">
        <v>2500</v>
      </c>
      <c r="T13" s="101">
        <f t="shared" si="8"/>
        <v>2500</v>
      </c>
      <c r="U13" s="84">
        <f t="shared" si="2"/>
        <v>2275</v>
      </c>
      <c r="W13" s="10" t="s">
        <v>213</v>
      </c>
      <c r="X13" s="115" t="s">
        <v>226</v>
      </c>
      <c r="Y13" s="101">
        <v>8042</v>
      </c>
      <c r="Z13" s="101">
        <f t="shared" si="3"/>
        <v>4664.3600000000006</v>
      </c>
      <c r="AA13" s="101">
        <f t="shared" si="9"/>
        <v>4503.5200000000004</v>
      </c>
      <c r="AB13" s="84">
        <f t="shared" si="4"/>
        <v>4098.2032000000008</v>
      </c>
      <c r="AD13" s="10" t="s">
        <v>213</v>
      </c>
      <c r="AE13" s="115" t="s">
        <v>249</v>
      </c>
      <c r="AF13" s="101">
        <v>7127</v>
      </c>
      <c r="AG13" s="101">
        <f>AF13-(AF13*AG$6)</f>
        <v>3207.1499999999996</v>
      </c>
      <c r="AH13" s="84">
        <f t="shared" si="10"/>
        <v>2982.6494999999995</v>
      </c>
    </row>
    <row r="14" spans="2:34" x14ac:dyDescent="0.35">
      <c r="B14" s="10"/>
      <c r="C14" s="81"/>
      <c r="D14" s="101"/>
      <c r="E14" s="101"/>
      <c r="F14" s="101"/>
      <c r="G14" s="84"/>
      <c r="I14" s="10"/>
      <c r="J14" s="81"/>
      <c r="K14" s="101"/>
      <c r="L14" s="101"/>
      <c r="M14" s="101"/>
      <c r="N14" s="84"/>
      <c r="P14" s="10"/>
      <c r="Q14" s="115"/>
      <c r="R14" s="81"/>
      <c r="S14" s="114"/>
      <c r="T14" s="101"/>
      <c r="U14" s="11"/>
      <c r="W14" s="10"/>
      <c r="X14" s="81"/>
      <c r="Y14" s="101"/>
      <c r="Z14" s="101"/>
      <c r="AA14" s="101"/>
      <c r="AB14" s="84"/>
      <c r="AD14" s="10"/>
      <c r="AE14" s="81"/>
      <c r="AF14" s="101"/>
      <c r="AG14" s="101"/>
      <c r="AH14" s="84"/>
    </row>
    <row r="15" spans="2:34" x14ac:dyDescent="0.35">
      <c r="B15" s="206" t="s">
        <v>12</v>
      </c>
      <c r="C15" s="81"/>
      <c r="D15" s="101"/>
      <c r="E15" s="101"/>
      <c r="F15" s="101"/>
      <c r="G15" s="84"/>
      <c r="I15" s="206" t="s">
        <v>12</v>
      </c>
      <c r="J15" s="81"/>
      <c r="K15" s="101"/>
      <c r="L15" s="101"/>
      <c r="M15" s="101"/>
      <c r="N15" s="84"/>
      <c r="P15" s="206" t="s">
        <v>12</v>
      </c>
      <c r="Q15" s="115"/>
      <c r="R15" s="101"/>
      <c r="S15" s="101"/>
      <c r="T15" s="101"/>
      <c r="U15" s="84"/>
      <c r="W15" s="206" t="s">
        <v>12</v>
      </c>
      <c r="X15" s="81"/>
      <c r="Y15" s="101"/>
      <c r="Z15" s="101"/>
      <c r="AA15" s="101"/>
      <c r="AB15" s="84"/>
      <c r="AD15" s="206" t="s">
        <v>12</v>
      </c>
      <c r="AE15" s="81"/>
      <c r="AF15" s="101"/>
      <c r="AG15" s="101"/>
      <c r="AH15" s="84"/>
    </row>
    <row r="16" spans="2:34" x14ac:dyDescent="0.35">
      <c r="B16" s="10" t="s">
        <v>4</v>
      </c>
      <c r="C16" s="81" t="s">
        <v>214</v>
      </c>
      <c r="D16" s="101">
        <v>4110</v>
      </c>
      <c r="E16" s="101">
        <f t="shared" si="5"/>
        <v>2671.5</v>
      </c>
      <c r="F16" s="101">
        <f t="shared" si="6"/>
        <v>2350.92</v>
      </c>
      <c r="G16" s="84">
        <f t="shared" si="6"/>
        <v>2115.828</v>
      </c>
      <c r="I16" s="10" t="s">
        <v>4</v>
      </c>
      <c r="J16" s="81" t="s">
        <v>220</v>
      </c>
      <c r="K16" s="101">
        <v>4883</v>
      </c>
      <c r="L16" s="101">
        <f>K16-(K16*L$6)</f>
        <v>2832.14</v>
      </c>
      <c r="M16" s="101">
        <f t="shared" si="7"/>
        <v>2482.14</v>
      </c>
      <c r="N16" s="84">
        <f>M16-(M16*N$6)</f>
        <v>2258.7473999999997</v>
      </c>
      <c r="P16" s="10" t="s">
        <v>4</v>
      </c>
      <c r="Q16" s="115" t="s">
        <v>296</v>
      </c>
      <c r="R16" s="101"/>
      <c r="S16" s="101">
        <v>2500</v>
      </c>
      <c r="T16" s="101">
        <f t="shared" si="8"/>
        <v>2500</v>
      </c>
      <c r="U16" s="84">
        <f>T16-(T16*U$6)</f>
        <v>2275</v>
      </c>
      <c r="W16" s="10" t="s">
        <v>4</v>
      </c>
      <c r="X16" s="81" t="s">
        <v>229</v>
      </c>
      <c r="Y16" s="101">
        <v>7344</v>
      </c>
      <c r="Z16" s="101">
        <f>Y16-(Y16*L$6)</f>
        <v>4259.5200000000004</v>
      </c>
      <c r="AA16" s="101">
        <f t="shared" ref="AA16:AA17" si="11">Y16-(Y16*(AA$6))</f>
        <v>4112.6399999999994</v>
      </c>
      <c r="AB16" s="84">
        <f>AA16-(AA16*AB$6)</f>
        <v>3742.5023999999994</v>
      </c>
      <c r="AD16" s="10" t="s">
        <v>4</v>
      </c>
      <c r="AE16" s="115" t="s">
        <v>250</v>
      </c>
      <c r="AF16" s="101">
        <v>6984</v>
      </c>
      <c r="AG16" s="101">
        <f>AF16-(AF16*AG$6)</f>
        <v>3142.7999999999997</v>
      </c>
      <c r="AH16" s="84">
        <f t="shared" ref="AH16:AH17" si="12">AG16-(AG16*AH$6)</f>
        <v>2922.8039999999996</v>
      </c>
    </row>
    <row r="17" spans="2:34" ht="15" thickBot="1" x14ac:dyDescent="0.4">
      <c r="B17" s="207" t="s">
        <v>8</v>
      </c>
      <c r="C17" s="208" t="s">
        <v>215</v>
      </c>
      <c r="D17" s="209">
        <v>3100</v>
      </c>
      <c r="E17" s="209">
        <f t="shared" si="5"/>
        <v>2015</v>
      </c>
      <c r="F17" s="209">
        <f t="shared" si="6"/>
        <v>1773.2</v>
      </c>
      <c r="G17" s="210">
        <f t="shared" si="6"/>
        <v>1595.88</v>
      </c>
      <c r="I17" s="207" t="s">
        <v>8</v>
      </c>
      <c r="J17" s="208" t="s">
        <v>220</v>
      </c>
      <c r="K17" s="209">
        <v>3489</v>
      </c>
      <c r="L17" s="209">
        <f>K17-(K17*L$6)</f>
        <v>2023.6200000000001</v>
      </c>
      <c r="M17" s="209">
        <f t="shared" si="7"/>
        <v>1673.6200000000001</v>
      </c>
      <c r="N17" s="210">
        <f>M17-(M17*N$6)</f>
        <v>1522.9942000000001</v>
      </c>
      <c r="P17" s="207" t="s">
        <v>8</v>
      </c>
      <c r="Q17" s="265" t="s">
        <v>301</v>
      </c>
      <c r="R17" s="209"/>
      <c r="S17" s="209">
        <v>1900</v>
      </c>
      <c r="T17" s="209">
        <f t="shared" si="8"/>
        <v>1900</v>
      </c>
      <c r="U17" s="210">
        <f>T17-(T17*U$6)</f>
        <v>1729</v>
      </c>
      <c r="W17" s="207" t="s">
        <v>8</v>
      </c>
      <c r="X17" s="208" t="s">
        <v>297</v>
      </c>
      <c r="Y17" s="209">
        <v>4840</v>
      </c>
      <c r="Z17" s="209">
        <f>Y17-(Y17*L$6)</f>
        <v>2807.2</v>
      </c>
      <c r="AA17" s="209">
        <f t="shared" si="11"/>
        <v>2710.4</v>
      </c>
      <c r="AB17" s="210">
        <f>AA17-(AA17*AB$6)</f>
        <v>2466.4639999999999</v>
      </c>
      <c r="AD17" s="207" t="s">
        <v>8</v>
      </c>
      <c r="AE17" s="208" t="s">
        <v>253</v>
      </c>
      <c r="AF17" s="209">
        <v>4390</v>
      </c>
      <c r="AG17" s="209">
        <f>AF17-(AF17*AG$6)</f>
        <v>1975.5</v>
      </c>
      <c r="AH17" s="210">
        <f t="shared" si="12"/>
        <v>1837.2149999999999</v>
      </c>
    </row>
    <row r="18" spans="2:34" x14ac:dyDescent="0.35">
      <c r="D18" s="41"/>
      <c r="E18" s="48"/>
      <c r="F18" s="3"/>
      <c r="G18" s="3"/>
      <c r="L18" s="3"/>
      <c r="M18" s="3"/>
      <c r="N18" s="3"/>
    </row>
    <row r="19" spans="2:34" x14ac:dyDescent="0.35">
      <c r="D19" s="48">
        <f>SUM(D8:D17)</f>
        <v>34725</v>
      </c>
      <c r="E19" s="48"/>
      <c r="F19" s="48">
        <f>SUM(F8:F17)</f>
        <v>19862.7</v>
      </c>
      <c r="G19" s="3"/>
      <c r="K19" s="48">
        <f>SUM(K8:K17)</f>
        <v>40490</v>
      </c>
      <c r="L19" s="48">
        <f>SUM(L8:L17)</f>
        <v>23484.2</v>
      </c>
      <c r="M19" s="48">
        <f>SUM(M8:M17)</f>
        <v>20684.2</v>
      </c>
      <c r="N19" s="3"/>
      <c r="R19" s="48"/>
      <c r="S19" s="41">
        <f>SUM(S8:S17)</f>
        <v>18700</v>
      </c>
      <c r="Y19" s="48">
        <f>SUM(Y8:Y17)</f>
        <v>58125</v>
      </c>
      <c r="Z19" s="48">
        <f>SUM(Z8:Z17)</f>
        <v>33712.5</v>
      </c>
      <c r="AA19" s="48">
        <f>SUM(AA8:AA17)</f>
        <v>32550.000000000004</v>
      </c>
      <c r="AF19" s="41">
        <f>SUM(AF8:AF17)</f>
        <v>51889</v>
      </c>
      <c r="AG19" s="48">
        <f>SUM(AG8:AG17)</f>
        <v>23350.049999999996</v>
      </c>
    </row>
    <row r="20" spans="2:34" x14ac:dyDescent="0.35">
      <c r="E20" s="3"/>
      <c r="F20" s="3"/>
      <c r="G20" s="3"/>
    </row>
    <row r="21" spans="2:34" x14ac:dyDescent="0.35">
      <c r="B21" s="81" t="s">
        <v>230</v>
      </c>
      <c r="C21" s="114" t="s">
        <v>231</v>
      </c>
      <c r="D21" s="114" t="s">
        <v>232</v>
      </c>
      <c r="M21" s="3" t="s">
        <v>234</v>
      </c>
    </row>
    <row r="22" spans="2:34" x14ac:dyDescent="0.35">
      <c r="B22" s="81" t="s">
        <v>243</v>
      </c>
      <c r="C22" s="101">
        <f>D19</f>
        <v>34725</v>
      </c>
      <c r="D22" s="114">
        <v>100</v>
      </c>
    </row>
    <row r="23" spans="2:34" x14ac:dyDescent="0.35">
      <c r="B23" s="81" t="s">
        <v>244</v>
      </c>
      <c r="C23" s="101">
        <f>Y19</f>
        <v>58125</v>
      </c>
      <c r="D23" s="101">
        <f>(C23/C$22)*100</f>
        <v>167.38660907127431</v>
      </c>
    </row>
    <row r="24" spans="2:34" x14ac:dyDescent="0.35">
      <c r="B24" s="81" t="s">
        <v>202</v>
      </c>
      <c r="C24" s="101">
        <f>K19</f>
        <v>40490</v>
      </c>
      <c r="D24" s="101">
        <f t="shared" ref="D24:D26" si="13">(C24/C$22)*100</f>
        <v>116.60187185025197</v>
      </c>
    </row>
    <row r="25" spans="2:34" x14ac:dyDescent="0.35">
      <c r="B25" s="81" t="s">
        <v>204</v>
      </c>
      <c r="C25" s="101" t="s">
        <v>79</v>
      </c>
      <c r="D25" s="101" t="s">
        <v>79</v>
      </c>
    </row>
    <row r="26" spans="2:34" x14ac:dyDescent="0.35">
      <c r="B26" s="81" t="s">
        <v>247</v>
      </c>
      <c r="C26" s="101">
        <f>AF19</f>
        <v>51889</v>
      </c>
      <c r="D26" s="101">
        <f t="shared" si="13"/>
        <v>149.42836573074155</v>
      </c>
    </row>
    <row r="27" spans="2:34" x14ac:dyDescent="0.35">
      <c r="C27" s="3"/>
      <c r="D27" s="3"/>
    </row>
    <row r="28" spans="2:34" x14ac:dyDescent="0.35">
      <c r="C28" s="3"/>
      <c r="D28" s="3"/>
    </row>
    <row r="29" spans="2:34" x14ac:dyDescent="0.35">
      <c r="B29" s="81" t="s">
        <v>302</v>
      </c>
      <c r="C29" s="114" t="s">
        <v>231</v>
      </c>
      <c r="D29" s="114" t="s">
        <v>232</v>
      </c>
    </row>
    <row r="30" spans="2:34" x14ac:dyDescent="0.35">
      <c r="B30" s="81" t="s">
        <v>243</v>
      </c>
      <c r="C30" s="101">
        <f>F19</f>
        <v>19862.7</v>
      </c>
      <c r="D30" s="114">
        <v>100</v>
      </c>
    </row>
    <row r="31" spans="2:34" x14ac:dyDescent="0.35">
      <c r="B31" s="81" t="s">
        <v>244</v>
      </c>
      <c r="C31" s="101">
        <f>AA19</f>
        <v>32550.000000000004</v>
      </c>
      <c r="D31" s="101">
        <f>(C31/C$30)*100</f>
        <v>163.87500188796088</v>
      </c>
    </row>
    <row r="32" spans="2:34" x14ac:dyDescent="0.35">
      <c r="B32" s="81" t="s">
        <v>202</v>
      </c>
      <c r="C32" s="101">
        <f>M19</f>
        <v>20684.2</v>
      </c>
      <c r="D32" s="101">
        <f t="shared" ref="D32:D34" si="14">(C32/C$30)*100</f>
        <v>104.13589290479139</v>
      </c>
    </row>
    <row r="33" spans="2:4" x14ac:dyDescent="0.35">
      <c r="B33" s="81" t="s">
        <v>204</v>
      </c>
      <c r="C33" s="101">
        <f>S19</f>
        <v>18700</v>
      </c>
      <c r="D33" s="101">
        <f t="shared" si="14"/>
        <v>94.146314448690262</v>
      </c>
    </row>
    <row r="34" spans="2:4" x14ac:dyDescent="0.35">
      <c r="B34" s="81" t="s">
        <v>247</v>
      </c>
      <c r="C34" s="101">
        <f>AG19</f>
        <v>23350.049999999996</v>
      </c>
      <c r="D34" s="101">
        <f t="shared" si="14"/>
        <v>117.55728073222672</v>
      </c>
    </row>
    <row r="51" spans="5:7" x14ac:dyDescent="0.35">
      <c r="E51" s="3"/>
      <c r="F51" s="3"/>
      <c r="G51" s="3"/>
    </row>
    <row r="52" spans="5:7" x14ac:dyDescent="0.35">
      <c r="E52" s="3"/>
      <c r="F52" s="3"/>
      <c r="G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LØNNSOMHET, nye</vt:lpstr>
      <vt:lpstr>Lønnsomhet, regum</vt:lpstr>
      <vt:lpstr>Bonuser</vt:lpstr>
      <vt:lpstr>Rabatter</vt:lpstr>
      <vt:lpstr>Datablad nye</vt:lpstr>
      <vt:lpstr>Datablad regum</vt:lpstr>
      <vt:lpstr>Bonuser!Utskriftsområde</vt:lpstr>
      <vt:lpstr>'Datablad nye'!Utskriftsområde</vt:lpstr>
      <vt:lpstr>'LØNNSOMHET, nye'!Utskriftsområde</vt:lpstr>
      <vt:lpstr>'Lønnsomhet, regum'!Utskriftsområde</vt:lpstr>
      <vt:lpstr>Rabatter!Utskriftsområde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2024-03-06T09:27:31Z</cp:lastPrinted>
  <dcterms:created xsi:type="dcterms:W3CDTF">2013-12-18T12:22:47Z</dcterms:created>
  <dcterms:modified xsi:type="dcterms:W3CDTF">2024-03-06T09:40:12Z</dcterms:modified>
</cp:coreProperties>
</file>