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Alle Geirs filer\TUNG SEKTOR\"/>
    </mc:Choice>
  </mc:AlternateContent>
  <xr:revisionPtr revIDLastSave="0" documentId="8_{00AEF28B-3EDE-458A-A709-A32EC86DBCD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LØNNSOMHET, nye" sheetId="5" r:id="rId1"/>
    <sheet name="Lønnsomhet, regum" sheetId="11" r:id="rId2"/>
    <sheet name="Bonuser" sheetId="4" r:id="rId3"/>
    <sheet name="Rabatter" sheetId="9" r:id="rId4"/>
    <sheet name="Datablad nye" sheetId="2" r:id="rId5"/>
    <sheet name="Datablad regum" sheetId="10" r:id="rId6"/>
  </sheets>
  <definedNames>
    <definedName name="_xlnm.Print_Area" localSheetId="2">Bonuser!$A$1:$H$74</definedName>
    <definedName name="_xlnm.Print_Area" localSheetId="4">'Datablad nye'!$B$6:$E$22</definedName>
    <definedName name="_xlnm.Print_Area" localSheetId="0">'LØNNSOMHET, nye'!$B$1:$T$31</definedName>
    <definedName name="_xlnm.Print_Area" localSheetId="1">'Lønnsomhet, regum'!$B$1:$T$24</definedName>
    <definedName name="_xlnm.Print_Area" localSheetId="3">Rabatter!$A$1:$S$58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2" i="2" l="1"/>
  <c r="Y21" i="2"/>
  <c r="Y18" i="2"/>
  <c r="Y17" i="2"/>
  <c r="Y16" i="2"/>
  <c r="Y15" i="2"/>
  <c r="Y14" i="2"/>
  <c r="Y13" i="2"/>
  <c r="Y10" i="2"/>
  <c r="Y9" i="2"/>
  <c r="Y8" i="2"/>
  <c r="Y7" i="2"/>
  <c r="M17" i="10"/>
  <c r="M16" i="10"/>
  <c r="M13" i="10"/>
  <c r="M12" i="10"/>
  <c r="M11" i="10"/>
  <c r="M10" i="10"/>
  <c r="M9" i="10"/>
  <c r="M8" i="10"/>
  <c r="I49" i="9"/>
  <c r="I48" i="9"/>
  <c r="D52" i="9"/>
  <c r="D51" i="9"/>
  <c r="D50" i="9"/>
  <c r="D49" i="9"/>
  <c r="D48" i="9"/>
  <c r="T17" i="10" l="1"/>
  <c r="T16" i="10"/>
  <c r="T13" i="10"/>
  <c r="T12" i="10"/>
  <c r="T11" i="10"/>
  <c r="T10" i="10"/>
  <c r="T9" i="10"/>
  <c r="T8" i="10"/>
  <c r="S47" i="9"/>
  <c r="N9" i="9" l="1"/>
  <c r="AC24" i="2"/>
  <c r="D46" i="2" s="1"/>
  <c r="N14" i="5"/>
  <c r="S10" i="10"/>
  <c r="N12" i="5" l="1"/>
  <c r="N16" i="5"/>
  <c r="N18" i="5"/>
  <c r="N20" i="5"/>
  <c r="AV20" i="5" s="1"/>
  <c r="N22" i="5"/>
  <c r="N24" i="5"/>
  <c r="N26" i="5"/>
  <c r="I20" i="9"/>
  <c r="N47" i="9"/>
  <c r="Z17" i="10"/>
  <c r="Z16" i="10"/>
  <c r="Z13" i="10"/>
  <c r="Z12" i="10"/>
  <c r="Z11" i="10"/>
  <c r="Z10" i="10"/>
  <c r="Z9" i="10"/>
  <c r="Z8" i="10"/>
  <c r="J13" i="11"/>
  <c r="N19" i="11"/>
  <c r="Y19" i="10"/>
  <c r="F13" i="11"/>
  <c r="N13" i="11"/>
  <c r="N15" i="11"/>
  <c r="AX15" i="11" s="1"/>
  <c r="N17" i="11"/>
  <c r="T19" i="10" l="1"/>
  <c r="C30" i="10" s="1"/>
  <c r="C25" i="10"/>
  <c r="Z19" i="10"/>
  <c r="C32" i="10" s="1"/>
  <c r="AA17" i="10"/>
  <c r="AA9" i="10"/>
  <c r="AA16" i="10"/>
  <c r="AA12" i="10"/>
  <c r="AA8" i="10"/>
  <c r="R19" i="10"/>
  <c r="K19" i="10"/>
  <c r="C24" i="10" s="1"/>
  <c r="AU15" i="11" s="1"/>
  <c r="AV15" i="11" s="1"/>
  <c r="D19" i="10"/>
  <c r="C22" i="10" s="1"/>
  <c r="AU13" i="11" s="1"/>
  <c r="S17" i="10"/>
  <c r="U17" i="10" s="1"/>
  <c r="S16" i="10"/>
  <c r="U16" i="10" s="1"/>
  <c r="S13" i="10"/>
  <c r="U13" i="10" s="1"/>
  <c r="S12" i="10"/>
  <c r="U12" i="10" s="1"/>
  <c r="S11" i="10"/>
  <c r="U11" i="10" s="1"/>
  <c r="U10" i="10"/>
  <c r="S9" i="10"/>
  <c r="U9" i="10" s="1"/>
  <c r="S8" i="10"/>
  <c r="L17" i="10"/>
  <c r="N17" i="10" s="1"/>
  <c r="L16" i="10"/>
  <c r="N16" i="10" s="1"/>
  <c r="L13" i="10"/>
  <c r="N13" i="10" s="1"/>
  <c r="L12" i="10"/>
  <c r="N12" i="10" s="1"/>
  <c r="L11" i="10"/>
  <c r="N11" i="10" s="1"/>
  <c r="L10" i="10"/>
  <c r="N10" i="10" s="1"/>
  <c r="L9" i="10"/>
  <c r="N9" i="10" s="1"/>
  <c r="L8" i="10"/>
  <c r="E17" i="10"/>
  <c r="F17" i="10" s="1"/>
  <c r="G17" i="10" s="1"/>
  <c r="E16" i="10"/>
  <c r="F16" i="10" s="1"/>
  <c r="G16" i="10" s="1"/>
  <c r="E13" i="10"/>
  <c r="F13" i="10" s="1"/>
  <c r="G13" i="10" s="1"/>
  <c r="E12" i="10"/>
  <c r="F12" i="10" s="1"/>
  <c r="G12" i="10" s="1"/>
  <c r="E11" i="10"/>
  <c r="F11" i="10" s="1"/>
  <c r="G11" i="10" s="1"/>
  <c r="E10" i="10"/>
  <c r="F10" i="10" s="1"/>
  <c r="G10" i="10" s="1"/>
  <c r="E9" i="10"/>
  <c r="F9" i="10" s="1"/>
  <c r="G9" i="10" s="1"/>
  <c r="E8" i="10"/>
  <c r="F8" i="10" s="1"/>
  <c r="D25" i="10" l="1"/>
  <c r="F19" i="11" s="1"/>
  <c r="AZ15" i="11"/>
  <c r="AU19" i="11"/>
  <c r="U8" i="10"/>
  <c r="S19" i="10"/>
  <c r="L19" i="10"/>
  <c r="G8" i="10"/>
  <c r="F19" i="10"/>
  <c r="C29" i="10" s="1"/>
  <c r="C23" i="10"/>
  <c r="AU17" i="11" s="1"/>
  <c r="D24" i="10"/>
  <c r="F15" i="11" s="1"/>
  <c r="BF15" i="11" s="1"/>
  <c r="D30" i="10"/>
  <c r="D23" i="10"/>
  <c r="F17" i="11" s="1"/>
  <c r="AA10" i="10"/>
  <c r="AA13" i="10"/>
  <c r="AA11" i="10"/>
  <c r="H13" i="11"/>
  <c r="D9" i="9"/>
  <c r="D32" i="10" l="1"/>
  <c r="N8" i="10"/>
  <c r="M19" i="10"/>
  <c r="C31" i="10" s="1"/>
  <c r="D31" i="10" s="1"/>
  <c r="AX13" i="11"/>
  <c r="AZ13" i="11" s="1"/>
  <c r="AV13" i="11"/>
  <c r="BF13" i="11"/>
  <c r="AV17" i="11"/>
  <c r="BF17" i="11"/>
  <c r="AX17" i="11"/>
  <c r="AZ17" i="11" s="1"/>
  <c r="Q7" i="2"/>
  <c r="I47" i="9"/>
  <c r="D47" i="9"/>
  <c r="B35" i="4"/>
  <c r="B36" i="4" s="1"/>
  <c r="B37" i="4" s="1"/>
  <c r="B38" i="4" s="1"/>
  <c r="B39" i="4" s="1"/>
  <c r="J24" i="5"/>
  <c r="F24" i="5"/>
  <c r="BG17" i="11" l="1"/>
  <c r="AW17" i="11"/>
  <c r="J17" i="11" s="1"/>
  <c r="BB13" i="11"/>
  <c r="BA15" i="11"/>
  <c r="O15" i="11" s="1"/>
  <c r="BA17" i="11"/>
  <c r="O17" i="11" s="1"/>
  <c r="BG15" i="11"/>
  <c r="AW15" i="11"/>
  <c r="J15" i="11" s="1"/>
  <c r="I9" i="9"/>
  <c r="BB17" i="11" l="1"/>
  <c r="BB19" i="11"/>
  <c r="BB15" i="11"/>
  <c r="BC13" i="11"/>
  <c r="BF19" i="11"/>
  <c r="BG19" i="11" s="1"/>
  <c r="AX19" i="11"/>
  <c r="AZ19" i="11" s="1"/>
  <c r="BA19" i="11" s="1"/>
  <c r="O19" i="11" s="1"/>
  <c r="AV19" i="11"/>
  <c r="AW19" i="11" s="1"/>
  <c r="J19" i="11" s="1"/>
  <c r="AF24" i="2"/>
  <c r="C37" i="2" s="1"/>
  <c r="AU22" i="5" s="1"/>
  <c r="X24" i="2"/>
  <c r="C35" i="2" s="1"/>
  <c r="AG22" i="2"/>
  <c r="AG21" i="2"/>
  <c r="AG18" i="2"/>
  <c r="AG17" i="2"/>
  <c r="AG16" i="2"/>
  <c r="AG15" i="2"/>
  <c r="AG14" i="2"/>
  <c r="AG13" i="2"/>
  <c r="AG10" i="2"/>
  <c r="AG9" i="2"/>
  <c r="AG8" i="2"/>
  <c r="AG7" i="2"/>
  <c r="U22" i="2"/>
  <c r="U21" i="2"/>
  <c r="U18" i="2"/>
  <c r="U17" i="2"/>
  <c r="U16" i="2"/>
  <c r="U15" i="2"/>
  <c r="U14" i="2"/>
  <c r="U13" i="2"/>
  <c r="U10" i="2"/>
  <c r="U9" i="2"/>
  <c r="U8" i="2"/>
  <c r="U7" i="2"/>
  <c r="Q22" i="2"/>
  <c r="Q21" i="2"/>
  <c r="Q18" i="2"/>
  <c r="Q17" i="2"/>
  <c r="Q16" i="2"/>
  <c r="Q15" i="2"/>
  <c r="Q14" i="2"/>
  <c r="Q13" i="2"/>
  <c r="Q10" i="2"/>
  <c r="Q9" i="2"/>
  <c r="Q8" i="2"/>
  <c r="V14" i="2" l="1"/>
  <c r="AU20" i="5"/>
  <c r="U24" i="2"/>
  <c r="Q24" i="2"/>
  <c r="AV22" i="5"/>
  <c r="AW22" i="5" s="1"/>
  <c r="I22" i="2"/>
  <c r="AH22" i="2" s="1"/>
  <c r="I21" i="2"/>
  <c r="V21" i="2" s="1"/>
  <c r="I18" i="2"/>
  <c r="V18" i="2" s="1"/>
  <c r="I17" i="2"/>
  <c r="R17" i="2" s="1"/>
  <c r="I16" i="2"/>
  <c r="R16" i="2" s="1"/>
  <c r="I15" i="2"/>
  <c r="I14" i="2"/>
  <c r="R14" i="2" s="1"/>
  <c r="I13" i="2"/>
  <c r="R13" i="2" s="1"/>
  <c r="I10" i="2"/>
  <c r="AH10" i="2" s="1"/>
  <c r="I9" i="2"/>
  <c r="I8" i="2"/>
  <c r="I7" i="2"/>
  <c r="AH7" i="2" s="1"/>
  <c r="P24" i="2"/>
  <c r="C33" i="2" s="1"/>
  <c r="R18" i="2" l="1"/>
  <c r="AH13" i="2"/>
  <c r="R22" i="2"/>
  <c r="V13" i="2"/>
  <c r="R21" i="2"/>
  <c r="V7" i="2"/>
  <c r="AH17" i="2"/>
  <c r="AH21" i="2"/>
  <c r="V17" i="2"/>
  <c r="F8" i="2"/>
  <c r="Z8" i="2"/>
  <c r="F9" i="2"/>
  <c r="Z9" i="2"/>
  <c r="AH8" i="2"/>
  <c r="F15" i="2"/>
  <c r="AD15" i="2"/>
  <c r="Z15" i="2"/>
  <c r="AH16" i="2"/>
  <c r="F18" i="2"/>
  <c r="AD18" i="2"/>
  <c r="Z18" i="2"/>
  <c r="V15" i="2"/>
  <c r="AH18" i="2"/>
  <c r="V9" i="2"/>
  <c r="V10" i="2"/>
  <c r="R8" i="2"/>
  <c r="F16" i="2"/>
  <c r="AD16" i="2"/>
  <c r="Z16" i="2"/>
  <c r="F17" i="2"/>
  <c r="AD17" i="2"/>
  <c r="Z17" i="2"/>
  <c r="V16" i="2"/>
  <c r="F21" i="2"/>
  <c r="Z21" i="2"/>
  <c r="AD21" i="2"/>
  <c r="AH15" i="2"/>
  <c r="F10" i="2"/>
  <c r="Z10" i="2"/>
  <c r="Z13" i="2"/>
  <c r="AD13" i="2"/>
  <c r="F14" i="2"/>
  <c r="AD14" i="2"/>
  <c r="Z14" i="2"/>
  <c r="R9" i="2"/>
  <c r="V8" i="2"/>
  <c r="F22" i="2"/>
  <c r="Z22" i="2"/>
  <c r="AD22" i="2"/>
  <c r="R15" i="2"/>
  <c r="R10" i="2"/>
  <c r="F7" i="2"/>
  <c r="Z7" i="2"/>
  <c r="R7" i="2"/>
  <c r="AH14" i="2"/>
  <c r="AH9" i="2"/>
  <c r="V22" i="2"/>
  <c r="I26" i="2"/>
  <c r="F13" i="2"/>
  <c r="AW20" i="5"/>
  <c r="AU16" i="5"/>
  <c r="E24" i="2"/>
  <c r="I24" i="2"/>
  <c r="C43" i="2"/>
  <c r="C44" i="2"/>
  <c r="AG24" i="2"/>
  <c r="C40" i="2" l="1"/>
  <c r="AH24" i="2"/>
  <c r="V24" i="2"/>
  <c r="R24" i="2"/>
  <c r="C41" i="2"/>
  <c r="F24" i="2"/>
  <c r="AW14" i="5"/>
  <c r="C47" i="2"/>
  <c r="M22" i="2"/>
  <c r="N22" i="2" s="1"/>
  <c r="M21" i="2"/>
  <c r="N21" i="2" s="1"/>
  <c r="M18" i="2"/>
  <c r="N18" i="2" s="1"/>
  <c r="M17" i="2"/>
  <c r="N17" i="2" s="1"/>
  <c r="M16" i="2"/>
  <c r="N16" i="2" s="1"/>
  <c r="M15" i="2"/>
  <c r="N15" i="2" s="1"/>
  <c r="M14" i="2"/>
  <c r="N14" i="2" s="1"/>
  <c r="M13" i="2"/>
  <c r="N13" i="2" s="1"/>
  <c r="M10" i="2"/>
  <c r="N10" i="2" s="1"/>
  <c r="M9" i="2"/>
  <c r="N9" i="2" s="1"/>
  <c r="M8" i="2"/>
  <c r="N8" i="2" s="1"/>
  <c r="L24" i="2"/>
  <c r="C32" i="2" s="1"/>
  <c r="Y24" i="2"/>
  <c r="Z24" i="2" s="1"/>
  <c r="AW24" i="5" l="1"/>
  <c r="D44" i="2"/>
  <c r="J26" i="5" s="1"/>
  <c r="D41" i="2"/>
  <c r="J14" i="5" s="1"/>
  <c r="D47" i="2"/>
  <c r="J22" i="5" s="1"/>
  <c r="D43" i="2"/>
  <c r="J16" i="5" s="1"/>
  <c r="C45" i="2"/>
  <c r="D45" i="2" s="1"/>
  <c r="J20" i="5" s="1"/>
  <c r="AU18" i="5"/>
  <c r="M7" i="2" l="1"/>
  <c r="N7" i="2" s="1"/>
  <c r="AV12" i="5" l="1"/>
  <c r="H24" i="2"/>
  <c r="C31" i="2" s="1"/>
  <c r="AV16" i="5"/>
  <c r="AW16" i="5" s="1"/>
  <c r="M24" i="2"/>
  <c r="N24" i="2" s="1"/>
  <c r="T24" i="2"/>
  <c r="C34" i="2" s="1"/>
  <c r="AV26" i="5"/>
  <c r="D35" i="2" l="1"/>
  <c r="F20" i="5" s="1"/>
  <c r="D37" i="2"/>
  <c r="F22" i="5" s="1"/>
  <c r="D34" i="2"/>
  <c r="F26" i="5" s="1"/>
  <c r="D33" i="2"/>
  <c r="F16" i="5" s="1"/>
  <c r="D32" i="2"/>
  <c r="F18" i="5" s="1"/>
  <c r="C42" i="2"/>
  <c r="D42" i="2" s="1"/>
  <c r="J18" i="5" s="1"/>
  <c r="AU26" i="5"/>
  <c r="AW26" i="5" s="1"/>
  <c r="AU12" i="5"/>
  <c r="AW12" i="5" s="1"/>
  <c r="F12" i="5"/>
  <c r="AV18" i="5"/>
  <c r="AW18" i="5" s="1"/>
  <c r="AX18" i="5" l="1"/>
  <c r="O18" i="5" s="1"/>
  <c r="AX26" i="5"/>
  <c r="O26" i="5" s="1"/>
  <c r="AX22" i="5"/>
  <c r="O22" i="5" s="1"/>
  <c r="AY12" i="5"/>
  <c r="AX20" i="5"/>
  <c r="O20" i="5" s="1"/>
  <c r="AX14" i="5"/>
  <c r="O14" i="5" s="1"/>
  <c r="AX24" i="5"/>
  <c r="O24" i="5" s="1"/>
  <c r="AX16" i="5"/>
  <c r="O16" i="5" s="1"/>
  <c r="AY26" i="5" l="1"/>
  <c r="AZ26" i="5" s="1"/>
  <c r="AY22" i="5"/>
  <c r="AZ22" i="5" s="1"/>
  <c r="AY20" i="5"/>
  <c r="AZ20" i="5" s="1"/>
  <c r="AY18" i="5"/>
  <c r="AZ18" i="5" s="1"/>
  <c r="AY16" i="5"/>
  <c r="AZ16" i="5" s="1"/>
  <c r="AY14" i="5"/>
  <c r="AZ14" i="5" s="1"/>
  <c r="AY24" i="5"/>
  <c r="AZ24" i="5" s="1"/>
  <c r="BC17" i="11"/>
  <c r="BD17" i="11" s="1"/>
  <c r="R17" i="11" s="1"/>
  <c r="BC15" i="11"/>
  <c r="BD15" i="11" s="1"/>
  <c r="R15" i="11" s="1"/>
  <c r="BC19" i="11"/>
  <c r="BD19" i="11" s="1"/>
  <c r="R19" i="11" s="1"/>
  <c r="AZ12" i="5" l="1"/>
  <c r="BA22" i="5" l="1"/>
  <c r="R22" i="5" s="1"/>
  <c r="BA18" i="5"/>
  <c r="R18" i="5" s="1"/>
  <c r="BA26" i="5"/>
  <c r="R26" i="5" s="1"/>
  <c r="BA14" i="5"/>
  <c r="R14" i="5" s="1"/>
  <c r="BA20" i="5"/>
  <c r="R20" i="5" s="1"/>
  <c r="BA24" i="5"/>
  <c r="R24" i="5" s="1"/>
  <c r="BA16" i="5"/>
  <c r="R16" i="5" s="1"/>
</calcChain>
</file>

<file path=xl/sharedStrings.xml><?xml version="1.0" encoding="utf-8"?>
<sst xmlns="http://schemas.openxmlformats.org/spreadsheetml/2006/main" count="631" uniqueCount="292">
  <si>
    <t>Bridgestone</t>
  </si>
  <si>
    <t>Goodyear</t>
  </si>
  <si>
    <t>Nokian</t>
  </si>
  <si>
    <t>385/55R22,5</t>
  </si>
  <si>
    <t>385/65R22,5</t>
  </si>
  <si>
    <t>315/80R22,5</t>
  </si>
  <si>
    <t>295/80R22,5</t>
  </si>
  <si>
    <t>275/70R22,5</t>
  </si>
  <si>
    <t>265/70R19.5</t>
  </si>
  <si>
    <t>Dimensjon</t>
  </si>
  <si>
    <t>STYREHJUL</t>
  </si>
  <si>
    <t>DRIVHJUL</t>
  </si>
  <si>
    <t>HENGERHJUL</t>
  </si>
  <si>
    <t>Continental</t>
  </si>
  <si>
    <t>Listepris</t>
  </si>
  <si>
    <t>Nettopris</t>
  </si>
  <si>
    <t>Netto index</t>
  </si>
  <si>
    <t>Mønster</t>
  </si>
  <si>
    <t>Volum</t>
  </si>
  <si>
    <t>Netto kjøp over 500'</t>
  </si>
  <si>
    <t>Netto kjøp over 5 mill</t>
  </si>
  <si>
    <t>MAX BONUS</t>
  </si>
  <si>
    <t>EGEN bonus</t>
  </si>
  <si>
    <t>Kjedebonus</t>
  </si>
  <si>
    <t>DIN bonus</t>
  </si>
  <si>
    <t>NetNet</t>
  </si>
  <si>
    <t>SELL-OUT</t>
  </si>
  <si>
    <t>Forhandler</t>
  </si>
  <si>
    <t>NIVÅ</t>
  </si>
  <si>
    <t>per merke</t>
  </si>
  <si>
    <t>Kjedevolumbonus LIK årets volum</t>
  </si>
  <si>
    <t>Conti</t>
  </si>
  <si>
    <t>Netnet</t>
  </si>
  <si>
    <t>NOK 1.000.000 kjøp fra hver lev.</t>
  </si>
  <si>
    <t>Nokian Hakka Truck Steer</t>
  </si>
  <si>
    <t>KWA03</t>
  </si>
  <si>
    <t>KWD01</t>
  </si>
  <si>
    <t>KRD02</t>
  </si>
  <si>
    <t>Kumho</t>
  </si>
  <si>
    <t xml:space="preserve">                 Goodyear</t>
  </si>
  <si>
    <t xml:space="preserve">                               Continental</t>
  </si>
  <si>
    <t xml:space="preserve">                NOKIAN</t>
  </si>
  <si>
    <t xml:space="preserve">      Kumho</t>
  </si>
  <si>
    <t xml:space="preserve">                     BRIDGESTONE</t>
  </si>
  <si>
    <t xml:space="preserve">                MICHELIN</t>
  </si>
  <si>
    <t>Michelin</t>
  </si>
  <si>
    <t>UG MAX S</t>
  </si>
  <si>
    <t>UG MAX D</t>
  </si>
  <si>
    <t>UG MAX T</t>
  </si>
  <si>
    <t>KXD10</t>
  </si>
  <si>
    <t>X Multi D</t>
  </si>
  <si>
    <t>Netto kjøp over 250'</t>
  </si>
  <si>
    <t>Netto kjøp over 50'</t>
  </si>
  <si>
    <t>Netto kjøp over 200'</t>
  </si>
  <si>
    <t>Fakturanetto</t>
  </si>
  <si>
    <t>Rabatt:</t>
  </si>
  <si>
    <t>Listepris nivå</t>
  </si>
  <si>
    <t>Doublecoin</t>
  </si>
  <si>
    <t>Yokohama</t>
  </si>
  <si>
    <t>LISTE</t>
  </si>
  <si>
    <t>Fakturanetto, 12 dimensjoner</t>
  </si>
  <si>
    <t>Fakturanetto nivå</t>
  </si>
  <si>
    <t>rabatt:</t>
  </si>
  <si>
    <t xml:space="preserve">                YOKOHAMA</t>
  </si>
  <si>
    <t>LISTEPRIS</t>
  </si>
  <si>
    <t>RWD 1</t>
  </si>
  <si>
    <t>UG WTD</t>
  </si>
  <si>
    <t>Scandinavia HS 3</t>
  </si>
  <si>
    <t>Scandinavia HD 3</t>
  </si>
  <si>
    <t>Scandinavia Extreme HD 3</t>
  </si>
  <si>
    <t>Scandinavia HT 3</t>
  </si>
  <si>
    <t>Nokian Hakka E-Truck Drive</t>
  </si>
  <si>
    <t>Nokian Hakka Truck F2</t>
  </si>
  <si>
    <t>KMA01</t>
  </si>
  <si>
    <t>X Multi Grip Z</t>
  </si>
  <si>
    <t>X Multi Grip D</t>
  </si>
  <si>
    <t>XDV Ice Grip</t>
  </si>
  <si>
    <t>X Multi HD D</t>
  </si>
  <si>
    <t>N/A</t>
  </si>
  <si>
    <t>RLB 450</t>
  </si>
  <si>
    <t>RLB 451</t>
  </si>
  <si>
    <t>RSD 1</t>
  </si>
  <si>
    <t>RT 910</t>
  </si>
  <si>
    <t>RLB 490</t>
  </si>
  <si>
    <t>-</t>
  </si>
  <si>
    <t>901 ZS</t>
  </si>
  <si>
    <t>902 W</t>
  </si>
  <si>
    <t>SY 397</t>
  </si>
  <si>
    <t>Listepris, 12 dimensjoner</t>
  </si>
  <si>
    <t xml:space="preserve">            Continental</t>
  </si>
  <si>
    <t xml:space="preserve">                    Goodyear</t>
  </si>
  <si>
    <t xml:space="preserve">                   Nokian</t>
  </si>
  <si>
    <t xml:space="preserve">          Bridgestone</t>
  </si>
  <si>
    <t>Rabatt</t>
  </si>
  <si>
    <t>Tillegg</t>
  </si>
  <si>
    <t>TOTAL</t>
  </si>
  <si>
    <t>DOUBLECOIN (NDI)</t>
  </si>
  <si>
    <t>Fast rabatt</t>
  </si>
  <si>
    <t>Continental, supplering</t>
  </si>
  <si>
    <t>Goodyear, supplering:</t>
  </si>
  <si>
    <t>Nokian, supplering:</t>
  </si>
  <si>
    <t xml:space="preserve">Bridgestone, supplering: </t>
  </si>
  <si>
    <t>Starco, supplering:</t>
  </si>
  <si>
    <t>Michelin, supplering:</t>
  </si>
  <si>
    <t>Doublecoin, supplering:</t>
  </si>
  <si>
    <t>Netto kjøp over 50.000</t>
  </si>
  <si>
    <t>Netto kjøp NOK 500.000</t>
  </si>
  <si>
    <t>Netto kjøp NOK 750.000</t>
  </si>
  <si>
    <t>Netto kjøp over 750'</t>
  </si>
  <si>
    <t>Netto kjøp over 1 mill</t>
  </si>
  <si>
    <t>Netto kjøp NOK 1 mill</t>
  </si>
  <si>
    <t>Netto kjøp over 2 mill</t>
  </si>
  <si>
    <t>Netto kjøp over 3 mill</t>
  </si>
  <si>
    <t>KJEDEVOLUMBONUS</t>
  </si>
  <si>
    <t>5.000 dekk på kjeden</t>
  </si>
  <si>
    <t>60.000 dekk på kjeden</t>
  </si>
  <si>
    <t>65.000 dekk på kjeden</t>
  </si>
  <si>
    <t>70.000 dekk på kjeden</t>
  </si>
  <si>
    <t>75.000 dekk på kjeden</t>
  </si>
  <si>
    <t>80.000 dekk på kjeden</t>
  </si>
  <si>
    <t>85.000 dekk på kjeden</t>
  </si>
  <si>
    <t>MAX BONUS*</t>
  </si>
  <si>
    <t>* ALT varekjøp bygger bonus</t>
  </si>
  <si>
    <t>Netto kjøp over 75'</t>
  </si>
  <si>
    <t>Netto kjøp over 1,5 mill</t>
  </si>
  <si>
    <t>* ALT varekjøp utenom landbruk bygger bonus</t>
  </si>
  <si>
    <t>Netto kjøp 0-250'</t>
  </si>
  <si>
    <t>Netto kjøp over 700'</t>
  </si>
  <si>
    <t>Varekjøp NOK 60 mill på kjeden</t>
  </si>
  <si>
    <t>Netto kjøp under 300'</t>
  </si>
  <si>
    <t>1.250 dekk på kjeden</t>
  </si>
  <si>
    <t>2.000 dekk på kjeden</t>
  </si>
  <si>
    <t>3.000 dekk på kjeden</t>
  </si>
  <si>
    <t>4.000 dekk på kjeden</t>
  </si>
  <si>
    <t>5.000 lastebildekk på kjeden</t>
  </si>
  <si>
    <t>6.000 lastebildekk på kjeden</t>
  </si>
  <si>
    <t>7.000 lastebildekk på kjeden</t>
  </si>
  <si>
    <t>8.000 lastebildekk på kjeden</t>
  </si>
  <si>
    <t>8.500 lastebildekk på kjeden</t>
  </si>
  <si>
    <t>9.000 lastebildekk på kjeden</t>
  </si>
  <si>
    <t>4.500 dekk på kjeden</t>
  </si>
  <si>
    <t>KJEDEVOLUMBONUS (last og person totalkjøp)</t>
  </si>
  <si>
    <t xml:space="preserve">                Sammenligning av listepriser, fakturanetto og netnet</t>
  </si>
  <si>
    <t>Dekningsbidrag</t>
  </si>
  <si>
    <t>Listepris 12 dekk</t>
  </si>
  <si>
    <t>Total rabatt og bonus</t>
  </si>
  <si>
    <t>Rabattsats</t>
  </si>
  <si>
    <t>Netnet nivå</t>
  </si>
  <si>
    <t>30% DB</t>
  </si>
  <si>
    <t>Utpris, BS base</t>
  </si>
  <si>
    <t>DB</t>
  </si>
  <si>
    <t>DB nivå</t>
  </si>
  <si>
    <t>295/80R22,5 helår</t>
  </si>
  <si>
    <t>295/80R22,5 VINTER</t>
  </si>
  <si>
    <t>315/70R22,5 VINTER</t>
  </si>
  <si>
    <t>315/70R22,5 helår</t>
  </si>
  <si>
    <t xml:space="preserve">                    Scandekk</t>
  </si>
  <si>
    <t>Scandekk, supplering:</t>
  </si>
  <si>
    <t xml:space="preserve">                    Gummiservice</t>
  </si>
  <si>
    <t>Gummiservice, supplering:</t>
  </si>
  <si>
    <t>W958</t>
  </si>
  <si>
    <t>RWS1</t>
  </si>
  <si>
    <t>Scandinavia HDW 2</t>
  </si>
  <si>
    <t>Nokian Hakka Truck Drive</t>
  </si>
  <si>
    <t>Nokian Hakka Truck Trailer</t>
  </si>
  <si>
    <t xml:space="preserve">XTE 2 </t>
  </si>
  <si>
    <t>505C</t>
  </si>
  <si>
    <t>508T</t>
  </si>
  <si>
    <t>NETTOPRISER</t>
  </si>
  <si>
    <t>På netto</t>
  </si>
  <si>
    <t>Preordre over 300 dekk</t>
  </si>
  <si>
    <t>Preordre over 700 dekk</t>
  </si>
  <si>
    <t>1-19 dekk: 40%  fra 20 dekk og opp: 42%</t>
  </si>
  <si>
    <t xml:space="preserve">            Remix, Michelin</t>
  </si>
  <si>
    <t>Scandekk</t>
  </si>
  <si>
    <t>Gummiservice</t>
  </si>
  <si>
    <t>REMIX Michelin</t>
  </si>
  <si>
    <t xml:space="preserve">                     SCANDEKK</t>
  </si>
  <si>
    <t>Fakturapris</t>
  </si>
  <si>
    <t>200 dekk: Preorder ekstra</t>
  </si>
  <si>
    <t>KHM 2</t>
  </si>
  <si>
    <t>295/80R22,5 vinter</t>
  </si>
  <si>
    <t>315/80R22,5 vinter</t>
  </si>
  <si>
    <t>275/70R22,5 vinter</t>
  </si>
  <si>
    <t>KHM2</t>
  </si>
  <si>
    <t>315/70R22,5 vinter</t>
  </si>
  <si>
    <t>WSS</t>
  </si>
  <si>
    <t>KXTY</t>
  </si>
  <si>
    <t xml:space="preserve">                     GUMMISERVICE</t>
  </si>
  <si>
    <t>PDR-W</t>
  </si>
  <si>
    <t>ICE 202</t>
  </si>
  <si>
    <t>PTW</t>
  </si>
  <si>
    <t xml:space="preserve">                     REMIX</t>
  </si>
  <si>
    <t>X Multiway 3D</t>
  </si>
  <si>
    <t>XDW Ice Grip</t>
  </si>
  <si>
    <t>X Multigrip D</t>
  </si>
  <si>
    <t>XDE 2+</t>
  </si>
  <si>
    <t>X Multi T</t>
  </si>
  <si>
    <t>Listeprisnivåer</t>
  </si>
  <si>
    <t>Beløp</t>
  </si>
  <si>
    <t>Nivå</t>
  </si>
  <si>
    <t>Container</t>
  </si>
  <si>
    <t>Innpris</t>
  </si>
  <si>
    <t>Netto kjøp 250' - 500'</t>
  </si>
  <si>
    <t>Netto kjøp 500' - 750'</t>
  </si>
  <si>
    <t>Netto kjøp 750' - 1 mill</t>
  </si>
  <si>
    <t>Netto kjøp 1 mill - 1,5 mill</t>
  </si>
  <si>
    <t>Totalt over 2500 regummierte</t>
  </si>
  <si>
    <t>Totalt over 3000 regummierte</t>
  </si>
  <si>
    <t>Totalt over 3500 regummierte</t>
  </si>
  <si>
    <t>Scandekk, referanse 100</t>
  </si>
  <si>
    <t>Michelin Remix</t>
  </si>
  <si>
    <t xml:space="preserve"> Goodyear Treadmax</t>
  </si>
  <si>
    <t>TM KMAX D</t>
  </si>
  <si>
    <t>Goodyear Treadmax</t>
  </si>
  <si>
    <t>netto nivå</t>
  </si>
  <si>
    <t>TM UGMAX D</t>
  </si>
  <si>
    <t>TM UGMAX T</t>
  </si>
  <si>
    <t>NTWTD City</t>
  </si>
  <si>
    <t>TM KMAX DG2</t>
  </si>
  <si>
    <t>TM KMAX T</t>
  </si>
  <si>
    <t>200 dekk</t>
  </si>
  <si>
    <t>Remix, supplering:</t>
  </si>
  <si>
    <t xml:space="preserve"> </t>
  </si>
  <si>
    <t>Netto kjøp NOK 0-50.000</t>
  </si>
  <si>
    <t>Netto kjøp NOK 50.000</t>
  </si>
  <si>
    <t>Netto kjøp NOK 100.000</t>
  </si>
  <si>
    <t>Netto kjøp NOK 250.000</t>
  </si>
  <si>
    <t>Netto kjøp NOK 1,5 mill</t>
  </si>
  <si>
    <t>Netto kjøp NOK 2 mill</t>
  </si>
  <si>
    <t>Netto kjøp fra 300' til 700'</t>
  </si>
  <si>
    <t>55.000 dekk på kjeden</t>
  </si>
  <si>
    <t>KJEDEVOLUMBONUS, last</t>
  </si>
  <si>
    <t>* Kommer bonusoverskudd i tillegg- var 0,8% i 2023</t>
  </si>
  <si>
    <t>Netto kjøp 0-500'</t>
  </si>
  <si>
    <t>Netto kjøp 500' - 700'</t>
  </si>
  <si>
    <t>Netto kjøp 700' - 800'</t>
  </si>
  <si>
    <t>Netto kjøp 800' - 900'</t>
  </si>
  <si>
    <t>Netto kjøp 900' - 1.100'</t>
  </si>
  <si>
    <t>Netto kjøp 1.100' - 1.400'</t>
  </si>
  <si>
    <t>Netto kjøp 1.400' - 1.600'</t>
  </si>
  <si>
    <t>Netto kjøp over 1.600'</t>
  </si>
  <si>
    <t xml:space="preserve">MAX BONUS </t>
  </si>
  <si>
    <t>10,5%*</t>
  </si>
  <si>
    <t>KWD 01</t>
  </si>
  <si>
    <t>ECOHD2</t>
  </si>
  <si>
    <t>XTE 2</t>
  </si>
  <si>
    <t>M852</t>
  </si>
  <si>
    <t>UTEN styrehjul</t>
  </si>
  <si>
    <t>Utpris, GY base</t>
  </si>
  <si>
    <t>Fakturaprisnivåer preordre</t>
  </si>
  <si>
    <t xml:space="preserve">            Goodyear Treadmax</t>
  </si>
  <si>
    <t xml:space="preserve">                NYE LASTEBIL- og BUSSDEKK, 2025</t>
  </si>
  <si>
    <t xml:space="preserve">                REGUMMIERTE LASTEBIL- og BUSSDEKK, 2025</t>
  </si>
  <si>
    <t>BONUSTABELLER 2025, last og buss</t>
  </si>
  <si>
    <t>RABATTSATSER last, Containerkjøp Vinter 2025</t>
  </si>
  <si>
    <t>* Kommer bonusoverskudd i tillegg- var 0,4% i 2024</t>
  </si>
  <si>
    <t>* Kommer bonusoverskudd i tillegg- var 1,3% i 2024</t>
  </si>
  <si>
    <t>* Kommer bonusoverskudd i tillegg- NYHET i 2025</t>
  </si>
  <si>
    <t>Totalkjøp varemerke Continental*</t>
  </si>
  <si>
    <t>Goodyear, bare last*</t>
  </si>
  <si>
    <t>Nokian, totalkjøp*</t>
  </si>
  <si>
    <t>* Kommer bonusoverskudd i tillegg- var 1% i 2024</t>
  </si>
  <si>
    <t>Yokohama og Kumho, Starco*</t>
  </si>
  <si>
    <t>Bridgestone, alle varegrupper ex OTR*</t>
  </si>
  <si>
    <t>Doublecoin, NDI- alt varekjøp*</t>
  </si>
  <si>
    <t>Michelin, alt kjøp last og person/vare*</t>
  </si>
  <si>
    <t>Yokohama og Kumho (Starco)</t>
  </si>
  <si>
    <t>REGUMMIERT, Containerkjøp, Vinter 2025</t>
  </si>
  <si>
    <t>NORDIC DRIVE</t>
  </si>
  <si>
    <t>UG WTT</t>
  </si>
  <si>
    <t>KLT03</t>
  </si>
  <si>
    <t>Brukes til Doublecoin nivåberegning</t>
  </si>
  <si>
    <t xml:space="preserve">             Beregnet på de 7 dimensjonene som er tatt med:</t>
  </si>
  <si>
    <t>Beregnet uten</t>
  </si>
  <si>
    <t>styrehjul</t>
  </si>
  <si>
    <t>Preordre fra 50 dekk</t>
  </si>
  <si>
    <t>Preordre fra 16 dekk</t>
  </si>
  <si>
    <t>Preordre fra 200 dekk</t>
  </si>
  <si>
    <t>2% under oppnådd preordrerabatt</t>
  </si>
  <si>
    <t>Preordre fra 40 dekk</t>
  </si>
  <si>
    <t>Preordre fra 100 dekk</t>
  </si>
  <si>
    <t>Bonus v/ 1 mill i 2025</t>
  </si>
  <si>
    <t>Fast rabatt container</t>
  </si>
  <si>
    <t>Supplering:</t>
  </si>
  <si>
    <t>Grunnrabatt</t>
  </si>
  <si>
    <t>EKSTRARABATT preordre 100 dekk</t>
  </si>
  <si>
    <t>MULTIGRIP og ICEGRIP</t>
  </si>
  <si>
    <t>XTE2 og XTY2</t>
  </si>
  <si>
    <t>EKSTRARABATT preordre 300 dekk</t>
  </si>
  <si>
    <t>EKSTRARABATTEN på 250 og 100 per dekk utgjør ca 2% oppå de 44%</t>
  </si>
  <si>
    <t>Grunnrabatt (12 dekk)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</si>
</sst>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\ %"/>
    <numFmt numFmtId="165" formatCode="0.0"/>
    <numFmt numFmtId="166" formatCode="#,##0.0"/>
  </numFmts>
  <fonts count="2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rgb="FFFFFF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7" fillId="0" borderId="0"/>
  </cellStyleXfs>
  <cellXfs count="27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5" fillId="0" borderId="0" xfId="0" applyFont="1"/>
    <xf numFmtId="0" fontId="0" fillId="0" borderId="1" xfId="0" applyBorder="1"/>
    <xf numFmtId="0" fontId="3" fillId="2" borderId="4" xfId="0" applyFont="1" applyFill="1" applyBorder="1"/>
    <xf numFmtId="0" fontId="0" fillId="0" borderId="4" xfId="0" applyBorder="1"/>
    <xf numFmtId="0" fontId="3" fillId="2" borderId="7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0" borderId="0" xfId="0" applyFont="1"/>
    <xf numFmtId="0" fontId="4" fillId="6" borderId="2" xfId="0" applyFont="1" applyFill="1" applyBorder="1"/>
    <xf numFmtId="0" fontId="4" fillId="6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4" fillId="4" borderId="3" xfId="0" applyFont="1" applyFill="1" applyBorder="1"/>
    <xf numFmtId="0" fontId="10" fillId="0" borderId="0" xfId="1"/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4" fillId="6" borderId="1" xfId="0" applyFont="1" applyFill="1" applyBorder="1"/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center"/>
    </xf>
    <xf numFmtId="165" fontId="4" fillId="8" borderId="1" xfId="0" applyNumberFormat="1" applyFon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6" fillId="7" borderId="1" xfId="0" applyFont="1" applyFill="1" applyBorder="1"/>
    <xf numFmtId="0" fontId="7" fillId="3" borderId="1" xfId="0" applyFont="1" applyFill="1" applyBorder="1"/>
    <xf numFmtId="0" fontId="8" fillId="5" borderId="1" xfId="0" applyFont="1" applyFill="1" applyBorder="1"/>
    <xf numFmtId="0" fontId="4" fillId="4" borderId="1" xfId="0" applyFont="1" applyFill="1" applyBorder="1"/>
    <xf numFmtId="9" fontId="1" fillId="0" borderId="0" xfId="0" applyNumberFormat="1" applyFont="1" applyAlignment="1">
      <alignment horizontal="center"/>
    </xf>
    <xf numFmtId="3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1" fillId="8" borderId="1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9" fontId="0" fillId="0" borderId="0" xfId="0" applyNumberFormat="1"/>
    <xf numFmtId="166" fontId="0" fillId="0" borderId="9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/>
    <xf numFmtId="0" fontId="7" fillId="9" borderId="13" xfId="0" applyFont="1" applyFill="1" applyBorder="1"/>
    <xf numFmtId="0" fontId="2" fillId="9" borderId="14" xfId="0" applyFont="1" applyFill="1" applyBorder="1"/>
    <xf numFmtId="0" fontId="0" fillId="9" borderId="14" xfId="0" applyFill="1" applyBorder="1"/>
    <xf numFmtId="0" fontId="0" fillId="9" borderId="15" xfId="0" applyFill="1" applyBorder="1"/>
    <xf numFmtId="0" fontId="7" fillId="9" borderId="16" xfId="0" applyFont="1" applyFill="1" applyBorder="1"/>
    <xf numFmtId="0" fontId="0" fillId="9" borderId="17" xfId="0" applyFill="1" applyBorder="1"/>
    <xf numFmtId="0" fontId="2" fillId="9" borderId="17" xfId="0" applyFont="1" applyFill="1" applyBorder="1"/>
    <xf numFmtId="0" fontId="0" fillId="9" borderId="18" xfId="0" applyFill="1" applyBorder="1"/>
    <xf numFmtId="0" fontId="0" fillId="4" borderId="0" xfId="0" applyFill="1"/>
    <xf numFmtId="0" fontId="0" fillId="0" borderId="4" xfId="0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3" fillId="0" borderId="0" xfId="0" applyFont="1"/>
    <xf numFmtId="3" fontId="0" fillId="0" borderId="23" xfId="0" applyNumberFormat="1" applyBorder="1" applyAlignment="1">
      <alignment horizontal="center"/>
    </xf>
    <xf numFmtId="3" fontId="11" fillId="0" borderId="1" xfId="0" applyNumberFormat="1" applyFont="1" applyBorder="1"/>
    <xf numFmtId="0" fontId="0" fillId="0" borderId="24" xfId="0" applyBorder="1"/>
    <xf numFmtId="0" fontId="0" fillId="0" borderId="25" xfId="0" applyBorder="1"/>
    <xf numFmtId="9" fontId="0" fillId="0" borderId="9" xfId="0" applyNumberFormat="1" applyBorder="1" applyAlignment="1">
      <alignment horizontal="center"/>
    </xf>
    <xf numFmtId="0" fontId="0" fillId="8" borderId="25" xfId="0" applyFill="1" applyBorder="1"/>
    <xf numFmtId="0" fontId="7" fillId="3" borderId="13" xfId="0" applyFont="1" applyFill="1" applyBorder="1"/>
    <xf numFmtId="0" fontId="7" fillId="3" borderId="15" xfId="0" applyFont="1" applyFill="1" applyBorder="1"/>
    <xf numFmtId="10" fontId="0" fillId="0" borderId="9" xfId="0" applyNumberFormat="1" applyBorder="1" applyAlignment="1">
      <alignment horizontal="center"/>
    </xf>
    <xf numFmtId="0" fontId="8" fillId="5" borderId="13" xfId="0" applyFont="1" applyFill="1" applyBorder="1"/>
    <xf numFmtId="0" fontId="8" fillId="5" borderId="15" xfId="0" applyFont="1" applyFill="1" applyBorder="1"/>
    <xf numFmtId="0" fontId="7" fillId="4" borderId="2" xfId="0" applyFont="1" applyFill="1" applyBorder="1"/>
    <xf numFmtId="0" fontId="3" fillId="0" borderId="26" xfId="0" applyFont="1" applyBorder="1"/>
    <xf numFmtId="10" fontId="3" fillId="0" borderId="27" xfId="0" applyNumberFormat="1" applyFont="1" applyBorder="1" applyAlignment="1">
      <alignment horizontal="center"/>
    </xf>
    <xf numFmtId="0" fontId="0" fillId="0" borderId="22" xfId="0" applyBorder="1"/>
    <xf numFmtId="9" fontId="0" fillId="0" borderId="22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6" borderId="0" xfId="0" applyFill="1"/>
    <xf numFmtId="0" fontId="0" fillId="10" borderId="0" xfId="0" applyFill="1"/>
    <xf numFmtId="0" fontId="0" fillId="6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12" fillId="5" borderId="0" xfId="0" applyFont="1" applyFill="1"/>
    <xf numFmtId="0" fontId="12" fillId="9" borderId="0" xfId="0" applyFont="1" applyFill="1"/>
    <xf numFmtId="0" fontId="12" fillId="9" borderId="0" xfId="0" applyFont="1" applyFill="1" applyAlignment="1">
      <alignment horizontal="center"/>
    </xf>
    <xf numFmtId="0" fontId="13" fillId="9" borderId="0" xfId="0" applyFont="1" applyFill="1"/>
    <xf numFmtId="0" fontId="14" fillId="6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4" fillId="10" borderId="0" xfId="0" applyFont="1" applyFill="1"/>
    <xf numFmtId="0" fontId="3" fillId="2" borderId="5" xfId="0" quotePrefix="1" applyFont="1" applyFill="1" applyBorder="1"/>
    <xf numFmtId="10" fontId="0" fillId="0" borderId="0" xfId="0" applyNumberFormat="1" applyAlignment="1">
      <alignment horizontal="center"/>
    </xf>
    <xf numFmtId="10" fontId="3" fillId="0" borderId="0" xfId="0" applyNumberFormat="1" applyFont="1" applyAlignment="1">
      <alignment horizontal="center"/>
    </xf>
    <xf numFmtId="3" fontId="0" fillId="0" borderId="22" xfId="0" applyNumberFormat="1" applyBorder="1" applyAlignment="1">
      <alignment horizontal="center"/>
    </xf>
    <xf numFmtId="0" fontId="12" fillId="11" borderId="0" xfId="0" applyFont="1" applyFill="1" applyAlignment="1">
      <alignment horizontal="center"/>
    </xf>
    <xf numFmtId="0" fontId="16" fillId="11" borderId="0" xfId="0" applyFont="1" applyFill="1"/>
    <xf numFmtId="0" fontId="16" fillId="11" borderId="0" xfId="0" applyFont="1" applyFill="1" applyAlignment="1">
      <alignment horizontal="center"/>
    </xf>
    <xf numFmtId="10" fontId="0" fillId="0" borderId="22" xfId="0" applyNumberFormat="1" applyBorder="1" applyAlignment="1">
      <alignment horizontal="center"/>
    </xf>
    <xf numFmtId="0" fontId="7" fillId="12" borderId="1" xfId="0" applyFont="1" applyFill="1" applyBorder="1"/>
    <xf numFmtId="0" fontId="0" fillId="0" borderId="13" xfId="0" applyBorder="1"/>
    <xf numFmtId="0" fontId="0" fillId="0" borderId="15" xfId="0" applyBorder="1"/>
    <xf numFmtId="0" fontId="0" fillId="0" borderId="23" xfId="0" applyBorder="1" applyAlignment="1">
      <alignment horizontal="center"/>
    </xf>
    <xf numFmtId="3" fontId="11" fillId="0" borderId="23" xfId="0" applyNumberFormat="1" applyFont="1" applyBorder="1"/>
    <xf numFmtId="165" fontId="0" fillId="0" borderId="0" xfId="0" applyNumberFormat="1" applyAlignment="1">
      <alignment horizontal="center"/>
    </xf>
    <xf numFmtId="0" fontId="0" fillId="0" borderId="23" xfId="0" applyBorder="1" applyAlignment="1">
      <alignment horizontal="left"/>
    </xf>
    <xf numFmtId="0" fontId="0" fillId="0" borderId="23" xfId="0" applyBorder="1"/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left"/>
    </xf>
    <xf numFmtId="0" fontId="18" fillId="0" borderId="0" xfId="0" applyFont="1"/>
    <xf numFmtId="0" fontId="4" fillId="6" borderId="29" xfId="0" applyFont="1" applyFill="1" applyBorder="1"/>
    <xf numFmtId="0" fontId="6" fillId="7" borderId="29" xfId="0" applyFont="1" applyFill="1" applyBorder="1"/>
    <xf numFmtId="0" fontId="7" fillId="3" borderId="0" xfId="0" applyFont="1" applyFill="1"/>
    <xf numFmtId="0" fontId="8" fillId="5" borderId="0" xfId="0" applyFont="1" applyFill="1"/>
    <xf numFmtId="10" fontId="0" fillId="0" borderId="22" xfId="0" quotePrefix="1" applyNumberFormat="1" applyBorder="1" applyAlignment="1">
      <alignment horizontal="center"/>
    </xf>
    <xf numFmtId="0" fontId="9" fillId="6" borderId="2" xfId="0" applyFont="1" applyFill="1" applyBorder="1"/>
    <xf numFmtId="0" fontId="9" fillId="6" borderId="29" xfId="0" applyFont="1" applyFill="1" applyBorder="1"/>
    <xf numFmtId="0" fontId="19" fillId="0" borderId="0" xfId="0" applyFont="1"/>
    <xf numFmtId="0" fontId="20" fillId="7" borderId="2" xfId="0" applyFont="1" applyFill="1" applyBorder="1"/>
    <xf numFmtId="0" fontId="20" fillId="7" borderId="29" xfId="0" applyFont="1" applyFill="1" applyBorder="1"/>
    <xf numFmtId="164" fontId="20" fillId="7" borderId="3" xfId="0" applyNumberFormat="1" applyFont="1" applyFill="1" applyBorder="1" applyAlignment="1">
      <alignment horizontal="center"/>
    </xf>
    <xf numFmtId="0" fontId="21" fillId="3" borderId="0" xfId="0" applyFont="1" applyFill="1"/>
    <xf numFmtId="164" fontId="21" fillId="3" borderId="0" xfId="0" applyNumberFormat="1" applyFont="1" applyFill="1" applyAlignment="1">
      <alignment horizontal="center"/>
    </xf>
    <xf numFmtId="0" fontId="22" fillId="5" borderId="0" xfId="0" applyFont="1" applyFill="1"/>
    <xf numFmtId="10" fontId="22" fillId="5" borderId="0" xfId="0" applyNumberFormat="1" applyFont="1" applyFill="1" applyAlignment="1">
      <alignment horizontal="center"/>
    </xf>
    <xf numFmtId="0" fontId="4" fillId="4" borderId="2" xfId="0" applyFont="1" applyFill="1" applyBorder="1"/>
    <xf numFmtId="0" fontId="4" fillId="4" borderId="29" xfId="0" applyFont="1" applyFill="1" applyBorder="1"/>
    <xf numFmtId="0" fontId="7" fillId="5" borderId="2" xfId="0" applyFont="1" applyFill="1" applyBorder="1"/>
    <xf numFmtId="0" fontId="7" fillId="5" borderId="29" xfId="0" applyFont="1" applyFill="1" applyBorder="1"/>
    <xf numFmtId="0" fontId="7" fillId="5" borderId="3" xfId="0" applyFont="1" applyFill="1" applyBorder="1"/>
    <xf numFmtId="0" fontId="9" fillId="4" borderId="16" xfId="0" applyFont="1" applyFill="1" applyBorder="1"/>
    <xf numFmtId="0" fontId="9" fillId="4" borderId="17" xfId="0" applyFont="1" applyFill="1" applyBorder="1"/>
    <xf numFmtId="0" fontId="9" fillId="4" borderId="2" xfId="0" applyFont="1" applyFill="1" applyBorder="1"/>
    <xf numFmtId="0" fontId="9" fillId="4" borderId="29" xfId="0" applyFont="1" applyFill="1" applyBorder="1"/>
    <xf numFmtId="10" fontId="9" fillId="4" borderId="3" xfId="0" applyNumberFormat="1" applyFont="1" applyFill="1" applyBorder="1" applyAlignment="1">
      <alignment horizontal="center"/>
    </xf>
    <xf numFmtId="164" fontId="9" fillId="4" borderId="3" xfId="0" applyNumberFormat="1" applyFont="1" applyFill="1" applyBorder="1" applyAlignment="1">
      <alignment horizontal="center"/>
    </xf>
    <xf numFmtId="0" fontId="22" fillId="0" borderId="0" xfId="0" applyFont="1"/>
    <xf numFmtId="0" fontId="21" fillId="0" borderId="0" xfId="0" applyFont="1"/>
    <xf numFmtId="9" fontId="21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3" fillId="8" borderId="24" xfId="0" applyFont="1" applyFill="1" applyBorder="1"/>
    <xf numFmtId="0" fontId="3" fillId="0" borderId="27" xfId="0" applyFont="1" applyBorder="1"/>
    <xf numFmtId="0" fontId="3" fillId="0" borderId="10" xfId="0" applyFont="1" applyBorder="1"/>
    <xf numFmtId="0" fontId="3" fillId="0" borderId="2" xfId="0" quotePrefix="1" applyFont="1" applyBorder="1"/>
    <xf numFmtId="0" fontId="3" fillId="0" borderId="3" xfId="0" applyFont="1" applyBorder="1"/>
    <xf numFmtId="0" fontId="3" fillId="0" borderId="16" xfId="0" quotePrefix="1" applyFont="1" applyBorder="1"/>
    <xf numFmtId="0" fontId="3" fillId="0" borderId="18" xfId="0" applyFont="1" applyBorder="1"/>
    <xf numFmtId="0" fontId="4" fillId="2" borderId="2" xfId="0" applyFont="1" applyFill="1" applyBorder="1"/>
    <xf numFmtId="0" fontId="4" fillId="2" borderId="3" xfId="0" applyFont="1" applyFill="1" applyBorder="1"/>
    <xf numFmtId="0" fontId="0" fillId="8" borderId="25" xfId="0" applyFill="1" applyBorder="1" applyAlignment="1">
      <alignment horizontal="center"/>
    </xf>
    <xf numFmtId="0" fontId="0" fillId="0" borderId="9" xfId="0" applyBorder="1"/>
    <xf numFmtId="0" fontId="0" fillId="0" borderId="25" xfId="0" applyBorder="1" applyAlignment="1">
      <alignment horizontal="center"/>
    </xf>
    <xf numFmtId="0" fontId="7" fillId="5" borderId="5" xfId="0" applyFont="1" applyFill="1" applyBorder="1"/>
    <xf numFmtId="0" fontId="16" fillId="5" borderId="7" xfId="0" applyFont="1" applyFill="1" applyBorder="1"/>
    <xf numFmtId="0" fontId="3" fillId="0" borderId="24" xfId="0" applyFont="1" applyBorder="1"/>
    <xf numFmtId="165" fontId="0" fillId="2" borderId="1" xfId="0" applyNumberForma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65" fontId="0" fillId="0" borderId="0" xfId="0" applyNumberFormat="1"/>
    <xf numFmtId="166" fontId="0" fillId="0" borderId="0" xfId="0" applyNumberFormat="1" applyAlignment="1">
      <alignment horizontal="center"/>
    </xf>
    <xf numFmtId="0" fontId="21" fillId="5" borderId="2" xfId="0" applyFont="1" applyFill="1" applyBorder="1"/>
    <xf numFmtId="164" fontId="21" fillId="5" borderId="3" xfId="0" applyNumberFormat="1" applyFont="1" applyFill="1" applyBorder="1" applyAlignment="1">
      <alignment horizontal="center"/>
    </xf>
    <xf numFmtId="0" fontId="23" fillId="13" borderId="2" xfId="0" applyFont="1" applyFill="1" applyBorder="1"/>
    <xf numFmtId="0" fontId="23" fillId="13" borderId="29" xfId="0" applyFont="1" applyFill="1" applyBorder="1"/>
    <xf numFmtId="0" fontId="23" fillId="13" borderId="3" xfId="0" applyFont="1" applyFill="1" applyBorder="1"/>
    <xf numFmtId="0" fontId="24" fillId="13" borderId="2" xfId="0" applyFont="1" applyFill="1" applyBorder="1"/>
    <xf numFmtId="0" fontId="24" fillId="13" borderId="29" xfId="0" applyFont="1" applyFill="1" applyBorder="1"/>
    <xf numFmtId="164" fontId="24" fillId="13" borderId="3" xfId="0" applyNumberFormat="1" applyFont="1" applyFill="1" applyBorder="1" applyAlignment="1">
      <alignment horizontal="center"/>
    </xf>
    <xf numFmtId="164" fontId="0" fillId="2" borderId="22" xfId="0" applyNumberFormat="1" applyFill="1" applyBorder="1" applyAlignment="1">
      <alignment horizontal="center"/>
    </xf>
    <xf numFmtId="164" fontId="9" fillId="6" borderId="3" xfId="0" applyNumberFormat="1" applyFont="1" applyFill="1" applyBorder="1" applyAlignment="1">
      <alignment horizontal="center"/>
    </xf>
    <xf numFmtId="10" fontId="0" fillId="0" borderId="0" xfId="0" quotePrefix="1" applyNumberFormat="1" applyAlignment="1">
      <alignment horizontal="center"/>
    </xf>
    <xf numFmtId="9" fontId="20" fillId="7" borderId="29" xfId="0" applyNumberFormat="1" applyFont="1" applyFill="1" applyBorder="1" applyAlignment="1">
      <alignment horizontal="center"/>
    </xf>
    <xf numFmtId="9" fontId="21" fillId="5" borderId="29" xfId="0" applyNumberFormat="1" applyFont="1" applyFill="1" applyBorder="1"/>
    <xf numFmtId="9" fontId="24" fillId="13" borderId="29" xfId="0" applyNumberFormat="1" applyFont="1" applyFill="1" applyBorder="1" applyAlignment="1">
      <alignment horizontal="center"/>
    </xf>
    <xf numFmtId="0" fontId="0" fillId="0" borderId="2" xfId="0" applyBorder="1"/>
    <xf numFmtId="0" fontId="14" fillId="14" borderId="29" xfId="0" applyFont="1" applyFill="1" applyBorder="1"/>
    <xf numFmtId="0" fontId="14" fillId="14" borderId="29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26" xfId="0" applyFont="1" applyFill="1" applyBorder="1"/>
    <xf numFmtId="0" fontId="3" fillId="2" borderId="31" xfId="0" quotePrefix="1" applyFont="1" applyFill="1" applyBorder="1"/>
    <xf numFmtId="0" fontId="3" fillId="2" borderId="31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0" fillId="0" borderId="32" xfId="0" applyBorder="1"/>
    <xf numFmtId="0" fontId="0" fillId="0" borderId="28" xfId="0" applyBorder="1"/>
    <xf numFmtId="3" fontId="0" fillId="0" borderId="28" xfId="0" applyNumberFormat="1" applyBorder="1" applyAlignment="1">
      <alignment horizontal="center"/>
    </xf>
    <xf numFmtId="9" fontId="3" fillId="15" borderId="28" xfId="0" applyNumberFormat="1" applyFont="1" applyFill="1" applyBorder="1" applyAlignment="1">
      <alignment horizontal="center"/>
    </xf>
    <xf numFmtId="9" fontId="3" fillId="15" borderId="33" xfId="0" applyNumberFormat="1" applyFont="1" applyFill="1" applyBorder="1" applyAlignment="1">
      <alignment horizontal="center"/>
    </xf>
    <xf numFmtId="0" fontId="3" fillId="2" borderId="8" xfId="0" applyFont="1" applyFill="1" applyBorder="1"/>
    <xf numFmtId="0" fontId="0" fillId="0" borderId="10" xfId="0" applyBorder="1"/>
    <xf numFmtId="0" fontId="0" fillId="0" borderId="11" xfId="0" applyBorder="1"/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3" fillId="2" borderId="34" xfId="0" applyFont="1" applyFill="1" applyBorder="1"/>
    <xf numFmtId="0" fontId="3" fillId="2" borderId="35" xfId="0" quotePrefix="1" applyFont="1" applyFill="1" applyBorder="1"/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3" fontId="0" fillId="0" borderId="6" xfId="0" applyNumberFormat="1" applyBorder="1" applyAlignment="1">
      <alignment horizontal="center"/>
    </xf>
    <xf numFmtId="9" fontId="3" fillId="15" borderId="6" xfId="0" applyNumberFormat="1" applyFont="1" applyFill="1" applyBorder="1" applyAlignment="1">
      <alignment horizontal="center"/>
    </xf>
    <xf numFmtId="0" fontId="14" fillId="14" borderId="14" xfId="0" applyFont="1" applyFill="1" applyBorder="1"/>
    <xf numFmtId="0" fontId="14" fillId="14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9" fontId="3" fillId="15" borderId="7" xfId="0" applyNumberFormat="1" applyFont="1" applyFill="1" applyBorder="1" applyAlignment="1">
      <alignment horizontal="center"/>
    </xf>
    <xf numFmtId="0" fontId="25" fillId="16" borderId="2" xfId="0" applyFont="1" applyFill="1" applyBorder="1"/>
    <xf numFmtId="0" fontId="25" fillId="16" borderId="3" xfId="0" applyFont="1" applyFill="1" applyBorder="1"/>
    <xf numFmtId="0" fontId="25" fillId="6" borderId="2" xfId="0" applyFont="1" applyFill="1" applyBorder="1"/>
    <xf numFmtId="0" fontId="25" fillId="6" borderId="3" xfId="0" applyFont="1" applyFill="1" applyBorder="1"/>
    <xf numFmtId="10" fontId="1" fillId="0" borderId="1" xfId="0" applyNumberFormat="1" applyFont="1" applyBorder="1" applyAlignment="1">
      <alignment horizontal="center"/>
    </xf>
    <xf numFmtId="165" fontId="4" fillId="14" borderId="1" xfId="0" applyNumberFormat="1" applyFont="1" applyFill="1" applyBorder="1" applyAlignment="1">
      <alignment horizontal="center"/>
    </xf>
    <xf numFmtId="0" fontId="4" fillId="6" borderId="37" xfId="0" applyFont="1" applyFill="1" applyBorder="1"/>
    <xf numFmtId="0" fontId="7" fillId="12" borderId="37" xfId="0" applyFont="1" applyFill="1" applyBorder="1"/>
    <xf numFmtId="0" fontId="6" fillId="7" borderId="37" xfId="0" applyFont="1" applyFill="1" applyBorder="1"/>
    <xf numFmtId="0" fontId="4" fillId="4" borderId="37" xfId="0" applyFont="1" applyFill="1" applyBorder="1"/>
    <xf numFmtId="0" fontId="7" fillId="17" borderId="37" xfId="0" applyFont="1" applyFill="1" applyBorder="1"/>
    <xf numFmtId="0" fontId="4" fillId="17" borderId="0" xfId="0" applyFont="1" applyFill="1"/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14" borderId="1" xfId="0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9" fontId="1" fillId="2" borderId="22" xfId="0" applyNumberFormat="1" applyFont="1" applyFill="1" applyBorder="1" applyAlignment="1">
      <alignment horizontal="center"/>
    </xf>
    <xf numFmtId="0" fontId="0" fillId="0" borderId="30" xfId="0" applyBorder="1"/>
    <xf numFmtId="10" fontId="0" fillId="0" borderId="38" xfId="0" applyNumberFormat="1" applyBorder="1" applyAlignment="1">
      <alignment horizontal="center"/>
    </xf>
    <xf numFmtId="0" fontId="3" fillId="0" borderId="5" xfId="0" quotePrefix="1" applyFont="1" applyBorder="1"/>
    <xf numFmtId="0" fontId="3" fillId="0" borderId="7" xfId="0" applyFont="1" applyBorder="1"/>
    <xf numFmtId="0" fontId="3" fillId="0" borderId="12" xfId="0" applyFont="1" applyBorder="1"/>
    <xf numFmtId="10" fontId="0" fillId="0" borderId="25" xfId="0" applyNumberFormat="1" applyBorder="1" applyAlignment="1">
      <alignment horizontal="center"/>
    </xf>
    <xf numFmtId="0" fontId="0" fillId="0" borderId="39" xfId="0" applyBorder="1"/>
    <xf numFmtId="10" fontId="0" fillId="0" borderId="40" xfId="0" applyNumberFormat="1" applyBorder="1" applyAlignment="1">
      <alignment horizontal="center"/>
    </xf>
    <xf numFmtId="9" fontId="0" fillId="0" borderId="40" xfId="0" applyNumberFormat="1" applyBorder="1" applyAlignment="1">
      <alignment horizontal="center"/>
    </xf>
    <xf numFmtId="0" fontId="0" fillId="0" borderId="3" xfId="0" applyBorder="1"/>
    <xf numFmtId="0" fontId="0" fillId="0" borderId="33" xfId="0" applyBorder="1"/>
    <xf numFmtId="0" fontId="3" fillId="8" borderId="8" xfId="0" applyFont="1" applyFill="1" applyBorder="1"/>
    <xf numFmtId="0" fontId="0" fillId="8" borderId="9" xfId="0" applyFill="1" applyBorder="1"/>
    <xf numFmtId="10" fontId="0" fillId="0" borderId="12" xfId="0" applyNumberFormat="1" applyBorder="1" applyAlignment="1">
      <alignment horizontal="center"/>
    </xf>
    <xf numFmtId="0" fontId="0" fillId="2" borderId="22" xfId="0" applyFill="1" applyBorder="1" applyAlignment="1">
      <alignment horizontal="center"/>
    </xf>
    <xf numFmtId="3" fontId="0" fillId="2" borderId="22" xfId="0" applyNumberFormat="1" applyFill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10" fontId="0" fillId="18" borderId="22" xfId="0" applyNumberFormat="1" applyFill="1" applyBorder="1" applyAlignment="1">
      <alignment horizontal="center"/>
    </xf>
    <xf numFmtId="10" fontId="0" fillId="20" borderId="0" xfId="0" applyNumberFormat="1" applyFill="1"/>
    <xf numFmtId="0" fontId="0" fillId="0" borderId="0" xfId="0" applyAlignment="1">
      <alignment horizontal="left"/>
    </xf>
    <xf numFmtId="3" fontId="0" fillId="21" borderId="22" xfId="0" applyNumberFormat="1" applyFill="1" applyBorder="1" applyAlignment="1">
      <alignment horizontal="center"/>
    </xf>
    <xf numFmtId="2" fontId="0" fillId="21" borderId="0" xfId="0" applyNumberFormat="1" applyFill="1" applyAlignment="1">
      <alignment horizontal="center"/>
    </xf>
    <xf numFmtId="165" fontId="1" fillId="19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9" fillId="4" borderId="18" xfId="0" applyNumberFormat="1" applyFont="1" applyFill="1" applyBorder="1" applyAlignment="1">
      <alignment horizontal="center"/>
    </xf>
    <xf numFmtId="0" fontId="3" fillId="2" borderId="22" xfId="0" quotePrefix="1" applyFont="1" applyFill="1" applyBorder="1"/>
    <xf numFmtId="0" fontId="3" fillId="2" borderId="22" xfId="0" applyFont="1" applyFill="1" applyBorder="1" applyAlignment="1">
      <alignment horizontal="center"/>
    </xf>
    <xf numFmtId="9" fontId="3" fillId="15" borderId="22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9" fontId="3" fillId="15" borderId="9" xfId="0" applyNumberFormat="1" applyFont="1" applyFill="1" applyBorder="1" applyAlignment="1">
      <alignment horizontal="center"/>
    </xf>
    <xf numFmtId="0" fontId="7" fillId="17" borderId="2" xfId="0" applyFont="1" applyFill="1" applyBorder="1"/>
    <xf numFmtId="0" fontId="7" fillId="17" borderId="29" xfId="0" applyFont="1" applyFill="1" applyBorder="1"/>
    <xf numFmtId="0" fontId="7" fillId="17" borderId="3" xfId="0" applyFont="1" applyFill="1" applyBorder="1"/>
    <xf numFmtId="0" fontId="21" fillId="17" borderId="2" xfId="0" applyFont="1" applyFill="1" applyBorder="1"/>
    <xf numFmtId="0" fontId="21" fillId="17" borderId="29" xfId="0" applyFont="1" applyFill="1" applyBorder="1"/>
    <xf numFmtId="9" fontId="21" fillId="17" borderId="29" xfId="0" applyNumberFormat="1" applyFont="1" applyFill="1" applyBorder="1"/>
    <xf numFmtId="10" fontId="0" fillId="0" borderId="22" xfId="0" applyNumberFormat="1" applyBorder="1"/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/>
    <xf numFmtId="10" fontId="22" fillId="0" borderId="0" xfId="0" applyNumberFormat="1" applyFont="1" applyAlignment="1">
      <alignment horizontal="center"/>
    </xf>
  </cellXfs>
  <cellStyles count="3">
    <cellStyle name="Hyperkobling" xfId="1" builtinId="8"/>
    <cellStyle name="Normal" xfId="0" builtinId="0"/>
    <cellStyle name="Normal 8" xfId="2" xr:uid="{EAE346B4-78AE-471C-BDDE-2E5C689CD335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fagdekk.no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fagdekk.no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1059</xdr:colOff>
      <xdr:row>0</xdr:row>
      <xdr:rowOff>0</xdr:rowOff>
    </xdr:from>
    <xdr:to>
      <xdr:col>5</xdr:col>
      <xdr:colOff>412750</xdr:colOff>
      <xdr:row>4</xdr:row>
      <xdr:rowOff>90420</xdr:rowOff>
    </xdr:to>
    <xdr:pic>
      <xdr:nvPicPr>
        <xdr:cNvPr id="2" name="Picture 369" descr="Fagdekk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720"/>
        <a:stretch>
          <a:fillRect/>
        </a:stretch>
      </xdr:blipFill>
      <xdr:spPr bwMode="auto">
        <a:xfrm>
          <a:off x="360892" y="0"/>
          <a:ext cx="2306108" cy="1064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21168</xdr:colOff>
      <xdr:row>0</xdr:row>
      <xdr:rowOff>142876</xdr:rowOff>
    </xdr:from>
    <xdr:to>
      <xdr:col>18</xdr:col>
      <xdr:colOff>6</xdr:colOff>
      <xdr:row>3</xdr:row>
      <xdr:rowOff>41275</xdr:rowOff>
    </xdr:to>
    <xdr:pic>
      <xdr:nvPicPr>
        <xdr:cNvPr id="3" name="Bilde 2" descr="cid:image006.png@01CE9515.CCB6156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6918" y="142876"/>
          <a:ext cx="2656422" cy="692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1058</xdr:colOff>
      <xdr:row>0</xdr:row>
      <xdr:rowOff>0</xdr:rowOff>
    </xdr:from>
    <xdr:to>
      <xdr:col>5</xdr:col>
      <xdr:colOff>560916</xdr:colOff>
      <xdr:row>5</xdr:row>
      <xdr:rowOff>147570</xdr:rowOff>
    </xdr:to>
    <xdr:pic>
      <xdr:nvPicPr>
        <xdr:cNvPr id="2" name="Picture 369" descr="Fagdekk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59F9C1-2653-4805-9C9E-681805DE3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720"/>
        <a:stretch>
          <a:fillRect/>
        </a:stretch>
      </xdr:blipFill>
      <xdr:spPr bwMode="auto">
        <a:xfrm>
          <a:off x="360891" y="0"/>
          <a:ext cx="2962275" cy="1301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931335</xdr:colOff>
      <xdr:row>0</xdr:row>
      <xdr:rowOff>142876</xdr:rowOff>
    </xdr:from>
    <xdr:to>
      <xdr:col>17</xdr:col>
      <xdr:colOff>1587507</xdr:colOff>
      <xdr:row>4</xdr:row>
      <xdr:rowOff>98425</xdr:rowOff>
    </xdr:to>
    <xdr:pic>
      <xdr:nvPicPr>
        <xdr:cNvPr id="3" name="Bilde 2" descr="cid:image006.png@01CE9515.CCB61560">
          <a:extLst>
            <a:ext uri="{FF2B5EF4-FFF2-40B4-BE49-F238E27FC236}">
              <a16:creationId xmlns:a16="http://schemas.microsoft.com/office/drawing/2014/main" id="{56A21DCA-EE4A-40AC-B8A6-903A78E66C43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7668" y="142876"/>
          <a:ext cx="3005672" cy="9292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1779984</xdr:colOff>
      <xdr:row>0</xdr:row>
      <xdr:rowOff>65485</xdr:rowOff>
    </xdr:from>
    <xdr:to>
      <xdr:col>7</xdr:col>
      <xdr:colOff>704850</xdr:colOff>
      <xdr:row>3</xdr:row>
      <xdr:rowOff>114300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1A470A4E-159B-4250-9532-A2079F0C7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8497" y="65485"/>
          <a:ext cx="1091803" cy="1077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890588</xdr:colOff>
      <xdr:row>0</xdr:row>
      <xdr:rowOff>237684</xdr:rowOff>
    </xdr:from>
    <xdr:to>
      <xdr:col>6</xdr:col>
      <xdr:colOff>1390651</xdr:colOff>
      <xdr:row>2</xdr:row>
      <xdr:rowOff>13225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F660AD34-F122-4F74-B2FD-182719867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8038" y="237684"/>
          <a:ext cx="2362201" cy="623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A31"/>
  <sheetViews>
    <sheetView tabSelected="1" zoomScale="60" zoomScaleNormal="60" workbookViewId="0">
      <selection activeCell="F5" sqref="F5"/>
    </sheetView>
  </sheetViews>
  <sheetFormatPr baseColWidth="10" defaultRowHeight="14.5" x14ac:dyDescent="0.35"/>
  <cols>
    <col min="1" max="1" width="1.453125" customWidth="1"/>
    <col min="2" max="2" width="1.54296875" customWidth="1"/>
    <col min="3" max="3" width="2.1796875" customWidth="1"/>
    <col min="4" max="4" width="23.81640625" customWidth="1"/>
    <col min="5" max="5" width="3.26953125" customWidth="1"/>
    <col min="6" max="6" width="24.54296875" customWidth="1"/>
    <col min="7" max="7" width="3.26953125" customWidth="1"/>
    <col min="8" max="8" width="22" customWidth="1"/>
    <col min="9" max="9" width="3.26953125" customWidth="1"/>
    <col min="10" max="10" width="24" customWidth="1"/>
    <col min="11" max="11" width="2.453125" customWidth="1"/>
    <col min="12" max="12" width="19.26953125" customWidth="1"/>
    <col min="13" max="14" width="20.81640625" customWidth="1"/>
    <col min="15" max="15" width="15.54296875" customWidth="1"/>
    <col min="16" max="16" width="2.453125" customWidth="1"/>
    <col min="17" max="17" width="15.54296875" customWidth="1"/>
    <col min="18" max="18" width="22.7265625" customWidth="1"/>
    <col min="19" max="19" width="1.26953125" customWidth="1"/>
    <col min="20" max="20" width="2.1796875" customWidth="1"/>
    <col min="30" max="32" width="11.453125" customWidth="1"/>
    <col min="33" max="45" width="10.54296875" customWidth="1"/>
    <col min="46" max="46" width="26.81640625" customWidth="1"/>
    <col min="47" max="47" width="18" customWidth="1"/>
    <col min="48" max="48" width="18.81640625" customWidth="1"/>
    <col min="49" max="49" width="13.6328125" customWidth="1"/>
    <col min="50" max="50" width="16.1796875" customWidth="1"/>
    <col min="51" max="51" width="14.81640625" customWidth="1"/>
    <col min="52" max="53" width="11.453125" customWidth="1"/>
  </cols>
  <sheetData>
    <row r="1" spans="2:53" ht="15" thickBot="1" x14ac:dyDescent="0.4">
      <c r="E1" s="3"/>
      <c r="F1" s="3"/>
      <c r="G1" s="3"/>
      <c r="H1" s="3"/>
      <c r="I1" s="3"/>
    </row>
    <row r="2" spans="2:53" ht="23.5" x14ac:dyDescent="0.55000000000000004">
      <c r="E2" s="3"/>
      <c r="F2" s="3"/>
      <c r="G2" s="3"/>
      <c r="H2" s="55" t="s">
        <v>142</v>
      </c>
      <c r="I2" s="56"/>
      <c r="J2" s="56"/>
      <c r="K2" s="56"/>
      <c r="L2" s="57"/>
      <c r="M2" s="58"/>
    </row>
    <row r="3" spans="2:53" ht="24" thickBot="1" x14ac:dyDescent="0.6">
      <c r="E3" s="3"/>
      <c r="F3" s="3"/>
      <c r="G3" s="3"/>
      <c r="H3" s="59" t="s">
        <v>252</v>
      </c>
      <c r="I3" s="60"/>
      <c r="J3" s="61"/>
      <c r="K3" s="61"/>
      <c r="L3" s="60"/>
      <c r="M3" s="62"/>
      <c r="N3" t="s">
        <v>223</v>
      </c>
    </row>
    <row r="4" spans="2:53" x14ac:dyDescent="0.35">
      <c r="E4" s="3"/>
      <c r="F4" s="3" t="s">
        <v>223</v>
      </c>
      <c r="G4" s="3"/>
      <c r="H4" s="3"/>
      <c r="I4" s="3"/>
      <c r="J4" s="3"/>
      <c r="K4" s="3"/>
      <c r="L4" s="3"/>
      <c r="M4" s="3"/>
      <c r="N4" s="3"/>
      <c r="O4" s="3"/>
    </row>
    <row r="5" spans="2:53" x14ac:dyDescent="0.35">
      <c r="E5" s="3"/>
      <c r="F5" s="3" t="s">
        <v>223</v>
      </c>
      <c r="G5" s="3"/>
      <c r="H5" s="3"/>
      <c r="I5" s="3"/>
      <c r="J5" s="3"/>
      <c r="K5" s="3"/>
      <c r="L5" s="3"/>
      <c r="M5" s="3"/>
      <c r="N5" s="3"/>
      <c r="O5" s="3"/>
    </row>
    <row r="6" spans="2:53" x14ac:dyDescent="0.35">
      <c r="E6" s="3"/>
      <c r="F6" s="3"/>
      <c r="G6" s="3"/>
      <c r="H6" s="3"/>
      <c r="I6" s="3"/>
      <c r="O6" s="21"/>
    </row>
    <row r="7" spans="2:53" x14ac:dyDescent="0.35"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2:53" ht="24" thickBot="1" x14ac:dyDescent="0.6">
      <c r="B8" s="63"/>
      <c r="D8" s="22"/>
      <c r="E8" s="22"/>
      <c r="F8" s="22"/>
      <c r="G8" s="22"/>
      <c r="H8" s="22"/>
      <c r="I8" s="22"/>
      <c r="J8" s="22"/>
      <c r="K8" s="22"/>
      <c r="N8" s="22"/>
      <c r="O8" s="22"/>
      <c r="P8" s="22"/>
      <c r="Q8" s="22"/>
      <c r="R8" s="22"/>
      <c r="S8" s="22"/>
      <c r="T8" s="63"/>
    </row>
    <row r="9" spans="2:53" ht="23.5" x14ac:dyDescent="0.55000000000000004">
      <c r="B9" s="63"/>
      <c r="D9" s="22"/>
      <c r="E9" s="22"/>
      <c r="F9" s="23" t="s">
        <v>64</v>
      </c>
      <c r="G9" s="22"/>
      <c r="H9" s="23" t="s">
        <v>146</v>
      </c>
      <c r="I9" s="22"/>
      <c r="J9" s="23" t="s">
        <v>15</v>
      </c>
      <c r="K9" s="22"/>
      <c r="L9" s="24" t="s">
        <v>22</v>
      </c>
      <c r="M9" s="23" t="s">
        <v>23</v>
      </c>
      <c r="N9" s="23" t="s">
        <v>24</v>
      </c>
      <c r="O9" s="23" t="s">
        <v>25</v>
      </c>
      <c r="P9" s="4"/>
      <c r="Q9" s="24" t="s">
        <v>26</v>
      </c>
      <c r="R9" s="23" t="s">
        <v>27</v>
      </c>
      <c r="S9" s="22"/>
      <c r="T9" s="63"/>
      <c r="AY9" t="s">
        <v>249</v>
      </c>
    </row>
    <row r="10" spans="2:53" ht="24" thickBot="1" x14ac:dyDescent="0.6">
      <c r="B10" s="63"/>
      <c r="E10" s="22"/>
      <c r="F10" s="25" t="s">
        <v>28</v>
      </c>
      <c r="G10" s="22"/>
      <c r="H10" s="25" t="s">
        <v>201</v>
      </c>
      <c r="I10" s="22"/>
      <c r="J10" s="25" t="s">
        <v>28</v>
      </c>
      <c r="K10" s="22"/>
      <c r="L10" s="26" t="s">
        <v>29</v>
      </c>
      <c r="M10" s="25" t="s">
        <v>18</v>
      </c>
      <c r="N10" s="25">
        <v>2025</v>
      </c>
      <c r="O10" s="25" t="s">
        <v>28</v>
      </c>
      <c r="P10" s="4"/>
      <c r="Q10" s="26" t="s">
        <v>28</v>
      </c>
      <c r="R10" s="25" t="s">
        <v>143</v>
      </c>
      <c r="S10" s="22"/>
      <c r="T10" s="63"/>
      <c r="AU10" t="s">
        <v>144</v>
      </c>
      <c r="AV10" t="s">
        <v>145</v>
      </c>
      <c r="AW10" t="s">
        <v>32</v>
      </c>
      <c r="AX10" t="s">
        <v>147</v>
      </c>
      <c r="AY10" t="s">
        <v>148</v>
      </c>
      <c r="AZ10" t="s">
        <v>150</v>
      </c>
      <c r="BA10" t="s">
        <v>151</v>
      </c>
    </row>
    <row r="11" spans="2:53" ht="24" thickBot="1" x14ac:dyDescent="0.6">
      <c r="B11" s="63"/>
      <c r="E11" s="22"/>
      <c r="G11" s="22"/>
      <c r="H11" s="22"/>
      <c r="I11" s="22"/>
      <c r="O11" s="4"/>
      <c r="P11" s="4"/>
      <c r="Q11" s="4"/>
      <c r="T11" s="63"/>
    </row>
    <row r="12" spans="2:53" ht="24" thickBot="1" x14ac:dyDescent="0.6">
      <c r="B12" s="63"/>
      <c r="D12" s="220" t="s">
        <v>1</v>
      </c>
      <c r="E12" s="22"/>
      <c r="F12" s="33">
        <f>'Datablad nye'!D31</f>
        <v>100</v>
      </c>
      <c r="G12" s="22"/>
      <c r="H12" s="227">
        <v>0.52</v>
      </c>
      <c r="I12" s="22"/>
      <c r="J12" s="33">
        <v>100</v>
      </c>
      <c r="K12" s="32"/>
      <c r="L12" s="29">
        <v>7.0000000000000007E-2</v>
      </c>
      <c r="M12" s="28">
        <v>0.03</v>
      </c>
      <c r="N12" s="28">
        <f>SUM(L12:M12)</f>
        <v>0.1</v>
      </c>
      <c r="O12" s="33">
        <v>100</v>
      </c>
      <c r="P12" s="4"/>
      <c r="Q12" s="246">
        <v>100</v>
      </c>
      <c r="R12" s="31">
        <v>100</v>
      </c>
      <c r="S12" s="32"/>
      <c r="T12" s="63"/>
      <c r="AT12" s="36" t="s">
        <v>1</v>
      </c>
      <c r="AU12" s="162">
        <f>'Datablad nye'!C31</f>
        <v>117964</v>
      </c>
      <c r="AV12" s="163">
        <f>H12+(100%-H12)*N12</f>
        <v>0.56800000000000006</v>
      </c>
      <c r="AW12" s="22">
        <f t="shared" ref="AW12" si="0">AU12-(AU12*AV12)</f>
        <v>50960.447999999989</v>
      </c>
      <c r="AX12" s="22">
        <v>100</v>
      </c>
      <c r="AY12" s="162">
        <f>AW12*10/7</f>
        <v>72800.639999999985</v>
      </c>
      <c r="AZ12" s="41">
        <f t="shared" ref="AZ12" si="1">AY12-AW12</f>
        <v>21840.191999999995</v>
      </c>
      <c r="BA12" s="164">
        <v>100</v>
      </c>
    </row>
    <row r="13" spans="2:53" ht="7.5" customHeight="1" x14ac:dyDescent="0.55000000000000004">
      <c r="B13" s="63"/>
      <c r="E13" s="22"/>
      <c r="F13" s="22"/>
      <c r="G13" s="22"/>
      <c r="H13" s="22"/>
      <c r="I13" s="22"/>
      <c r="J13" s="22"/>
      <c r="K13" s="22"/>
      <c r="L13" s="34"/>
      <c r="M13" s="22"/>
      <c r="N13" s="22"/>
      <c r="O13" s="4"/>
      <c r="P13" s="4"/>
      <c r="Q13" s="22"/>
      <c r="R13" s="35"/>
      <c r="S13" s="32"/>
      <c r="T13" s="63"/>
    </row>
    <row r="14" spans="2:53" ht="23.5" x14ac:dyDescent="0.55000000000000004">
      <c r="B14" s="63"/>
      <c r="D14" s="38" t="s">
        <v>0</v>
      </c>
      <c r="E14" s="22"/>
      <c r="F14" s="2" t="s">
        <v>78</v>
      </c>
      <c r="G14" s="22"/>
      <c r="H14" s="227" t="s">
        <v>168</v>
      </c>
      <c r="I14" s="22"/>
      <c r="J14" s="33">
        <f>'Datablad nye'!D41</f>
        <v>98.942615261153122</v>
      </c>
      <c r="K14" s="32"/>
      <c r="L14" s="29">
        <v>0.09</v>
      </c>
      <c r="M14" s="216" t="s">
        <v>84</v>
      </c>
      <c r="N14" s="216">
        <f>SUM(L14:M14)</f>
        <v>0.09</v>
      </c>
      <c r="O14" s="33">
        <f>AX14</f>
        <v>100.04197765294373</v>
      </c>
      <c r="P14" s="4"/>
      <c r="Q14" s="1">
        <v>100</v>
      </c>
      <c r="R14" s="31">
        <f>BA14</f>
        <v>99.902052143131314</v>
      </c>
      <c r="S14" s="32"/>
      <c r="T14" s="63"/>
      <c r="AT14" s="38" t="s">
        <v>0</v>
      </c>
      <c r="AU14" s="162" t="s">
        <v>78</v>
      </c>
      <c r="AV14" s="163" t="s">
        <v>78</v>
      </c>
      <c r="AW14" s="162">
        <f>('Datablad nye'!E24)-('Datablad nye'!E24)*N14</f>
        <v>50981.84</v>
      </c>
      <c r="AX14" s="32">
        <f>AW14*100/AW$12</f>
        <v>100.04197765294373</v>
      </c>
      <c r="AY14" s="162">
        <f>AY$12*Q14/100</f>
        <v>72800.639999999985</v>
      </c>
      <c r="AZ14" s="41">
        <f>AY14-AW14</f>
        <v>21818.799999999988</v>
      </c>
      <c r="BA14" s="164">
        <f>AZ14*100/AZ$12</f>
        <v>99.902052143131314</v>
      </c>
    </row>
    <row r="15" spans="2:53" ht="7.5" customHeight="1" x14ac:dyDescent="0.55000000000000004">
      <c r="B15" s="63"/>
      <c r="E15" s="22"/>
      <c r="F15" s="22"/>
      <c r="G15" s="22"/>
      <c r="H15" s="22"/>
      <c r="I15" s="22"/>
      <c r="J15" s="22"/>
      <c r="K15" s="22"/>
      <c r="L15" s="34"/>
      <c r="M15" s="22"/>
      <c r="N15" s="22"/>
      <c r="O15" s="4"/>
      <c r="P15" s="4"/>
      <c r="Q15" s="22"/>
      <c r="R15" s="35"/>
      <c r="S15" s="32"/>
      <c r="T15" s="63"/>
      <c r="AX15" s="164"/>
    </row>
    <row r="16" spans="2:53" ht="23.5" x14ac:dyDescent="0.55000000000000004">
      <c r="B16" s="63"/>
      <c r="D16" s="37" t="s">
        <v>2</v>
      </c>
      <c r="E16" s="22"/>
      <c r="F16" s="33">
        <f>'Datablad nye'!D33</f>
        <v>95.997083856091692</v>
      </c>
      <c r="G16" s="22"/>
      <c r="H16" s="227">
        <v>0.5</v>
      </c>
      <c r="I16" s="22"/>
      <c r="J16" s="33">
        <f>'Datablad nye'!D43</f>
        <v>99.996962350095501</v>
      </c>
      <c r="K16" s="32"/>
      <c r="L16" s="29">
        <v>6.5000000000000002E-2</v>
      </c>
      <c r="M16" s="216">
        <v>0.02</v>
      </c>
      <c r="N16" s="216">
        <f>SUM(L16:M16)</f>
        <v>8.5000000000000006E-2</v>
      </c>
      <c r="O16" s="33">
        <f>AX16</f>
        <v>101.66357838926379</v>
      </c>
      <c r="P16" s="4"/>
      <c r="Q16" s="1">
        <v>100</v>
      </c>
      <c r="R16" s="31">
        <f>BA16</f>
        <v>96.118317091717813</v>
      </c>
      <c r="S16" s="32"/>
      <c r="T16" s="63"/>
      <c r="AT16" s="37" t="s">
        <v>2</v>
      </c>
      <c r="AU16" s="162">
        <f>'Datablad nye'!C33</f>
        <v>113242</v>
      </c>
      <c r="AV16" s="163">
        <f>H16+(100%-H16)*N16</f>
        <v>0.54249999999999998</v>
      </c>
      <c r="AW16" s="22">
        <f t="shared" ref="AW16" si="2">AU16-(AU16*AV16)</f>
        <v>51808.215000000004</v>
      </c>
      <c r="AX16" s="32">
        <f>AW16*100/AW$12</f>
        <v>101.66357838926379</v>
      </c>
      <c r="AY16" s="162">
        <f>AY$12*Q16/100</f>
        <v>72800.639999999985</v>
      </c>
      <c r="AZ16" s="41">
        <f t="shared" ref="AZ16" si="3">AY16-AW16</f>
        <v>20992.424999999981</v>
      </c>
      <c r="BA16" s="164">
        <f>AZ16*100/AZ$12</f>
        <v>96.118317091717813</v>
      </c>
    </row>
    <row r="17" spans="2:53" ht="7.5" customHeight="1" thickBot="1" x14ac:dyDescent="0.6">
      <c r="B17" s="63"/>
      <c r="E17" s="22"/>
      <c r="F17" s="22"/>
      <c r="G17" s="22"/>
      <c r="H17" s="22"/>
      <c r="I17" s="22"/>
      <c r="J17" s="22"/>
      <c r="K17" s="22"/>
      <c r="L17" s="34"/>
      <c r="M17" s="22"/>
      <c r="N17" s="22"/>
      <c r="O17" s="4"/>
      <c r="P17" s="4"/>
      <c r="Q17" s="22"/>
      <c r="R17" s="35"/>
      <c r="S17" s="32"/>
      <c r="T17" s="63"/>
      <c r="AX17" s="164"/>
    </row>
    <row r="18" spans="2:53" ht="24" thickBot="1" x14ac:dyDescent="0.6">
      <c r="B18" s="63"/>
      <c r="D18" s="218" t="s">
        <v>13</v>
      </c>
      <c r="E18" s="22"/>
      <c r="F18" s="33">
        <f>'Datablad nye'!D32</f>
        <v>100.59424909294361</v>
      </c>
      <c r="G18" s="22"/>
      <c r="H18" s="227">
        <v>0.41120000000000001</v>
      </c>
      <c r="I18" s="22"/>
      <c r="J18" s="33">
        <f>'Datablad nye'!D42</f>
        <v>123.16345806065127</v>
      </c>
      <c r="K18" s="32"/>
      <c r="L18" s="29">
        <v>0.09</v>
      </c>
      <c r="M18" s="28" t="s">
        <v>84</v>
      </c>
      <c r="N18" s="28">
        <f>SUM(L18:M18)</f>
        <v>0.09</v>
      </c>
      <c r="O18" s="33">
        <f>AX18</f>
        <v>124.76667457868506</v>
      </c>
      <c r="P18" s="4"/>
      <c r="Q18" s="1">
        <v>100</v>
      </c>
      <c r="R18" s="31">
        <f>BA18</f>
        <v>42.21109264973488</v>
      </c>
      <c r="S18" s="32"/>
      <c r="T18" s="63"/>
      <c r="AT18" s="27" t="s">
        <v>13</v>
      </c>
      <c r="AU18" s="162">
        <f>'Datablad nye'!C32</f>
        <v>118665</v>
      </c>
      <c r="AV18" s="163">
        <f>H18+(100%-H18)*N18</f>
        <v>0.46419199999999999</v>
      </c>
      <c r="AW18" s="22">
        <f t="shared" ref="AW18" si="4">AU18-(AU18*AV18)</f>
        <v>63581.656320000002</v>
      </c>
      <c r="AX18" s="32">
        <f>AW18*100/AW$12</f>
        <v>124.76667457868506</v>
      </c>
      <c r="AY18" s="162">
        <f>AY$12*Q18/100</f>
        <v>72800.639999999985</v>
      </c>
      <c r="AZ18" s="41">
        <f t="shared" ref="AZ18" si="5">AY18-AW18</f>
        <v>9218.983679999983</v>
      </c>
      <c r="BA18" s="164">
        <f>AZ18*100/AZ$12</f>
        <v>42.21109264973488</v>
      </c>
    </row>
    <row r="19" spans="2:53" ht="7.5" customHeight="1" thickBot="1" x14ac:dyDescent="0.6">
      <c r="B19" s="63"/>
      <c r="E19" s="22"/>
      <c r="F19" s="22"/>
      <c r="G19" s="22"/>
      <c r="H19" s="22"/>
      <c r="I19" s="22"/>
      <c r="J19" s="22"/>
      <c r="K19" s="22"/>
      <c r="L19" s="34"/>
      <c r="M19" s="22"/>
      <c r="N19" s="22"/>
      <c r="O19" s="4"/>
      <c r="P19" s="4"/>
      <c r="Q19" s="22"/>
      <c r="R19" s="35"/>
      <c r="S19" s="32"/>
      <c r="T19" s="63"/>
      <c r="AX19" s="164"/>
    </row>
    <row r="20" spans="2:53" ht="24" thickBot="1" x14ac:dyDescent="0.6">
      <c r="B20" s="63"/>
      <c r="D20" s="219" t="s">
        <v>45</v>
      </c>
      <c r="E20" s="22"/>
      <c r="F20" s="33">
        <f>'Datablad nye'!D35</f>
        <v>128.93001254620054</v>
      </c>
      <c r="G20" s="22"/>
      <c r="H20" s="227">
        <v>0.46</v>
      </c>
      <c r="I20" s="22"/>
      <c r="J20" s="33">
        <f>'Datablad nye'!D45</f>
        <v>145.29672894555398</v>
      </c>
      <c r="K20" s="32"/>
      <c r="L20" s="29">
        <v>0.09</v>
      </c>
      <c r="M20" s="216" t="s">
        <v>84</v>
      </c>
      <c r="N20" s="216">
        <f>SUM(L20:M20)</f>
        <v>0.09</v>
      </c>
      <c r="O20" s="33">
        <f>AX20</f>
        <v>146.65788927130313</v>
      </c>
      <c r="P20" s="4"/>
      <c r="Q20" s="1">
        <v>130</v>
      </c>
      <c r="R20" s="31">
        <f>BA20</f>
        <v>91.131591700292688</v>
      </c>
      <c r="S20" s="32"/>
      <c r="T20" s="63"/>
      <c r="AT20" s="105" t="s">
        <v>45</v>
      </c>
      <c r="AU20" s="162">
        <f>'Datablad nye'!C35</f>
        <v>152091</v>
      </c>
      <c r="AV20" s="163">
        <f>H20+((100%-H20)*N20)</f>
        <v>0.50860000000000005</v>
      </c>
      <c r="AW20" s="22">
        <f t="shared" ref="AW20" si="6">AU20-(AU20*AV20)</f>
        <v>74737.517399999997</v>
      </c>
      <c r="AX20" s="32">
        <f>AW20*100/AW$12</f>
        <v>146.65788927130313</v>
      </c>
      <c r="AY20" s="162">
        <f>AY$12*Q20/100</f>
        <v>94640.83199999998</v>
      </c>
      <c r="AZ20" s="41">
        <f t="shared" ref="AZ20" si="7">AY20-AW20</f>
        <v>19903.314599999983</v>
      </c>
      <c r="BA20" s="164">
        <f>AZ20*100/AZ$12</f>
        <v>91.131591700292688</v>
      </c>
    </row>
    <row r="21" spans="2:53" ht="7.5" customHeight="1" thickBot="1" x14ac:dyDescent="0.6">
      <c r="B21" s="63"/>
      <c r="E21" s="22"/>
      <c r="F21" s="22"/>
      <c r="G21" s="22"/>
      <c r="H21" s="22"/>
      <c r="I21" s="22"/>
      <c r="J21" s="22"/>
      <c r="K21" s="22"/>
      <c r="L21" s="34"/>
      <c r="M21" s="22"/>
      <c r="N21" s="22"/>
      <c r="O21" s="4"/>
      <c r="P21" s="4"/>
      <c r="Q21" s="22"/>
      <c r="R21" s="35"/>
      <c r="S21" s="32"/>
      <c r="T21" s="63"/>
      <c r="AX21" s="164"/>
    </row>
    <row r="22" spans="2:53" ht="24" thickBot="1" x14ac:dyDescent="0.6">
      <c r="B22" s="63"/>
      <c r="D22" s="221" t="s">
        <v>58</v>
      </c>
      <c r="E22" s="22"/>
      <c r="F22" s="33">
        <f>'Datablad nye'!D37</f>
        <v>77.925468787087581</v>
      </c>
      <c r="G22" s="22"/>
      <c r="H22" s="227">
        <v>0.48</v>
      </c>
      <c r="I22" s="22"/>
      <c r="J22" s="33">
        <f>'Datablad nye'!D47</f>
        <v>84.419257852678228</v>
      </c>
      <c r="K22" s="32"/>
      <c r="L22" s="29">
        <v>6.5000000000000002E-2</v>
      </c>
      <c r="M22" s="28">
        <v>0.01</v>
      </c>
      <c r="N22" s="28">
        <f>SUM(L22:M22)</f>
        <v>7.4999999999999997E-2</v>
      </c>
      <c r="O22" s="33">
        <f>AX22</f>
        <v>86.764237237474845</v>
      </c>
      <c r="P22" s="4"/>
      <c r="Q22" s="1">
        <v>85</v>
      </c>
      <c r="R22" s="31">
        <f>BA22</f>
        <v>80.883446445892019</v>
      </c>
      <c r="S22" s="32"/>
      <c r="T22" s="63"/>
      <c r="AT22" s="39" t="s">
        <v>58</v>
      </c>
      <c r="AU22" s="162">
        <f>'Datablad nye'!C37</f>
        <v>91924</v>
      </c>
      <c r="AV22" s="163">
        <f>H22+(100%-H22)*N22</f>
        <v>0.51900000000000002</v>
      </c>
      <c r="AW22" s="22">
        <f t="shared" ref="AW22" si="8">AU22-(AU22*AV22)</f>
        <v>44215.443999999996</v>
      </c>
      <c r="AX22" s="32">
        <f>AW22*100/AW$12</f>
        <v>86.764237237474845</v>
      </c>
      <c r="AY22" s="162">
        <f>AY$12*Q22/100</f>
        <v>61880.543999999987</v>
      </c>
      <c r="AZ22" s="41">
        <f t="shared" ref="AZ22" si="9">AY22-AW22</f>
        <v>17665.099999999991</v>
      </c>
      <c r="BA22" s="164">
        <f>AZ22*100/AZ$12</f>
        <v>80.883446445892019</v>
      </c>
    </row>
    <row r="23" spans="2:53" ht="7.5" customHeight="1" x14ac:dyDescent="0.55000000000000004">
      <c r="B23" s="63"/>
      <c r="E23" s="22"/>
      <c r="F23" s="22"/>
      <c r="G23" s="22"/>
      <c r="H23" s="22"/>
      <c r="I23" s="22"/>
      <c r="J23" s="22"/>
      <c r="K23" s="22"/>
      <c r="L23" s="34"/>
      <c r="M23" s="22"/>
      <c r="N23" s="22"/>
      <c r="O23" s="4"/>
      <c r="P23" s="4"/>
      <c r="Q23" s="22"/>
      <c r="R23" s="35"/>
      <c r="S23" s="32"/>
      <c r="T23" s="63"/>
      <c r="AX23" s="164"/>
    </row>
    <row r="24" spans="2:53" ht="23.5" x14ac:dyDescent="0.55000000000000004">
      <c r="B24" s="63"/>
      <c r="D24" s="37" t="s">
        <v>57</v>
      </c>
      <c r="E24" s="22"/>
      <c r="F24" s="252" t="str">
        <f>'Datablad nye'!D36</f>
        <v>N/A</v>
      </c>
      <c r="G24" s="22"/>
      <c r="H24" s="227" t="s">
        <v>168</v>
      </c>
      <c r="I24" s="22"/>
      <c r="J24" s="252">
        <f>'Datablad nye'!D46</f>
        <v>61.793255876467249</v>
      </c>
      <c r="K24" s="32"/>
      <c r="L24" s="29">
        <v>0.08</v>
      </c>
      <c r="M24" s="28">
        <v>0.01</v>
      </c>
      <c r="N24" s="28">
        <f>SUM(L24:M24)</f>
        <v>0.09</v>
      </c>
      <c r="O24" s="33">
        <f>AX24</f>
        <v>59.238764933934661</v>
      </c>
      <c r="P24" s="4"/>
      <c r="Q24" s="1">
        <v>75</v>
      </c>
      <c r="R24" s="31">
        <f>BA24</f>
        <v>111.77621515415247</v>
      </c>
      <c r="S24" s="32"/>
      <c r="T24" s="63"/>
      <c r="AT24" s="37" t="s">
        <v>57</v>
      </c>
      <c r="AU24" s="162" t="s">
        <v>78</v>
      </c>
      <c r="AV24" s="163" t="s">
        <v>78</v>
      </c>
      <c r="AW24" s="162">
        <f>('Datablad nye'!C46)-('Datablad nye'!C46)*N24</f>
        <v>30188.34</v>
      </c>
      <c r="AX24" s="32">
        <f>AW24*100/AW$12</f>
        <v>59.238764933934661</v>
      </c>
      <c r="AY24" s="162">
        <f>AY$12*Q24/100</f>
        <v>54600.479999999989</v>
      </c>
      <c r="AZ24" s="41">
        <f t="shared" ref="AZ24" si="10">AY24-AW24</f>
        <v>24412.139999999989</v>
      </c>
      <c r="BA24" s="164">
        <f>AZ24*100/AZ$12</f>
        <v>111.77621515415247</v>
      </c>
    </row>
    <row r="25" spans="2:53" ht="7.5" customHeight="1" thickBot="1" x14ac:dyDescent="0.6">
      <c r="B25" s="63"/>
      <c r="E25" s="22"/>
      <c r="F25" s="22"/>
      <c r="G25" s="22"/>
      <c r="H25" s="22"/>
      <c r="I25" s="22"/>
      <c r="J25" s="22"/>
      <c r="K25" s="22"/>
      <c r="L25" s="34"/>
      <c r="M25" s="22"/>
      <c r="N25" s="22"/>
      <c r="O25" s="4"/>
      <c r="P25" s="4"/>
      <c r="Q25" s="22"/>
      <c r="R25" s="35"/>
      <c r="S25" s="32"/>
      <c r="T25" s="63"/>
      <c r="AX25" s="164"/>
    </row>
    <row r="26" spans="2:53" ht="24" thickBot="1" x14ac:dyDescent="0.6">
      <c r="B26" s="63"/>
      <c r="D26" s="221" t="s">
        <v>38</v>
      </c>
      <c r="E26" s="22"/>
      <c r="F26" s="33">
        <f>'Datablad nye'!D34</f>
        <v>75.801939574785521</v>
      </c>
      <c r="G26" s="22"/>
      <c r="H26" s="227">
        <v>0.48</v>
      </c>
      <c r="I26" s="22"/>
      <c r="J26" s="33">
        <f>'Datablad nye'!D44</f>
        <v>82.118767872684316</v>
      </c>
      <c r="K26" s="32"/>
      <c r="L26" s="29">
        <v>6.5000000000000002E-2</v>
      </c>
      <c r="M26" s="28">
        <v>0.01</v>
      </c>
      <c r="N26" s="28">
        <f>SUM(L26:M26)</f>
        <v>7.4999999999999997E-2</v>
      </c>
      <c r="O26" s="33">
        <f>AX26</f>
        <v>84.399844758036664</v>
      </c>
      <c r="P26" s="4"/>
      <c r="Q26" s="1">
        <v>85</v>
      </c>
      <c r="R26" s="31">
        <f>BA26</f>
        <v>86.400362231247755</v>
      </c>
      <c r="S26" s="32"/>
      <c r="T26" s="63"/>
      <c r="AT26" s="39" t="s">
        <v>38</v>
      </c>
      <c r="AU26" s="162">
        <f>'Datablad nye'!C34</f>
        <v>89419</v>
      </c>
      <c r="AV26" s="163">
        <f>H26+(100%-H26)*N26</f>
        <v>0.51900000000000002</v>
      </c>
      <c r="AW26" s="22">
        <f t="shared" ref="AW26" si="11">AU26-(AU26*AV26)</f>
        <v>43010.538999999997</v>
      </c>
      <c r="AX26" s="32">
        <f>AW26*100/AW$12</f>
        <v>84.399844758036664</v>
      </c>
      <c r="AY26" s="162">
        <f>AY$12*Q26/100</f>
        <v>61880.543999999987</v>
      </c>
      <c r="AZ26" s="41">
        <f t="shared" ref="AZ26" si="12">AY26-AW26</f>
        <v>18870.00499999999</v>
      </c>
      <c r="BA26" s="164">
        <f>AZ26*100/AZ$12</f>
        <v>86.400362231247755</v>
      </c>
    </row>
    <row r="27" spans="2:53" ht="7.5" customHeight="1" x14ac:dyDescent="0.55000000000000004">
      <c r="B27" s="63"/>
      <c r="E27" s="22"/>
      <c r="F27" s="22"/>
      <c r="G27" s="22"/>
      <c r="H27" s="22"/>
      <c r="I27" s="22"/>
      <c r="J27" s="22"/>
      <c r="K27" s="22"/>
      <c r="L27" s="34"/>
      <c r="M27" s="22"/>
      <c r="N27" s="22"/>
      <c r="O27" s="4"/>
      <c r="P27" s="4"/>
      <c r="Q27" s="22"/>
      <c r="R27" s="35"/>
      <c r="S27" s="32"/>
      <c r="T27" s="63"/>
      <c r="AX27" s="164"/>
    </row>
    <row r="28" spans="2:53" x14ac:dyDescent="0.35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</row>
    <row r="29" spans="2:53" ht="23.5" x14ac:dyDescent="0.55000000000000004">
      <c r="E29" s="22"/>
      <c r="F29" s="22"/>
      <c r="G29" s="22"/>
      <c r="H29" s="22"/>
      <c r="I29" s="22"/>
      <c r="J29" s="4"/>
      <c r="K29" s="4"/>
      <c r="L29" s="4"/>
      <c r="M29" s="4"/>
      <c r="N29" s="4"/>
      <c r="O29" s="4"/>
      <c r="P29" s="4"/>
      <c r="Q29" s="4"/>
      <c r="R29" s="4"/>
    </row>
    <row r="30" spans="2:53" ht="23.5" x14ac:dyDescent="0.55000000000000004">
      <c r="E30" s="3"/>
      <c r="G30" s="3"/>
      <c r="H30" s="34"/>
      <c r="I30" s="3"/>
      <c r="J30" s="252" t="s">
        <v>274</v>
      </c>
      <c r="K30" s="3"/>
      <c r="L30" s="45" t="s">
        <v>33</v>
      </c>
      <c r="M30" s="30"/>
      <c r="N30" s="30"/>
    </row>
    <row r="31" spans="2:53" ht="23.5" x14ac:dyDescent="0.55000000000000004">
      <c r="E31" s="3"/>
      <c r="F31" t="s">
        <v>223</v>
      </c>
      <c r="G31" s="3"/>
      <c r="H31" s="34"/>
      <c r="I31" s="3"/>
      <c r="J31" s="252" t="s">
        <v>275</v>
      </c>
      <c r="K31" s="3"/>
      <c r="L31" s="45" t="s">
        <v>30</v>
      </c>
      <c r="M31" s="30"/>
      <c r="N31" s="30"/>
    </row>
  </sheetData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B0346-CC96-48B3-B88A-D1FB9C038E78}">
  <sheetPr>
    <pageSetUpPr fitToPage="1"/>
  </sheetPr>
  <dimension ref="B1:BG25"/>
  <sheetViews>
    <sheetView zoomScale="60" zoomScaleNormal="60" workbookViewId="0">
      <selection activeCell="M20" sqref="M20"/>
    </sheetView>
  </sheetViews>
  <sheetFormatPr baseColWidth="10" defaultRowHeight="14.5" x14ac:dyDescent="0.35"/>
  <cols>
    <col min="1" max="1" width="1.453125" customWidth="1"/>
    <col min="2" max="2" width="1.54296875" customWidth="1"/>
    <col min="3" max="3" width="2.1796875" customWidth="1"/>
    <col min="4" max="4" width="31.08984375" customWidth="1"/>
    <col min="5" max="5" width="3.26953125" customWidth="1"/>
    <col min="6" max="6" width="24.54296875" customWidth="1"/>
    <col min="7" max="7" width="3.26953125" customWidth="1"/>
    <col min="8" max="8" width="22.26953125" customWidth="1"/>
    <col min="9" max="9" width="3.26953125" customWidth="1"/>
    <col min="10" max="10" width="24" customWidth="1"/>
    <col min="11" max="11" width="2.453125" customWidth="1"/>
    <col min="12" max="12" width="19.26953125" customWidth="1"/>
    <col min="13" max="14" width="20.81640625" customWidth="1"/>
    <col min="15" max="15" width="15.54296875" customWidth="1"/>
    <col min="16" max="16" width="2.453125" customWidth="1"/>
    <col min="17" max="17" width="15.54296875" customWidth="1"/>
    <col min="18" max="18" width="23.81640625" customWidth="1"/>
    <col min="19" max="19" width="1.26953125" customWidth="1"/>
    <col min="20" max="20" width="2.1796875" customWidth="1"/>
    <col min="30" max="32" width="11.453125" customWidth="1"/>
    <col min="33" max="45" width="10.54296875" customWidth="1"/>
    <col min="46" max="46" width="26.81640625" customWidth="1"/>
    <col min="47" max="49" width="18" customWidth="1"/>
    <col min="50" max="51" width="24.08984375" customWidth="1"/>
    <col min="54" max="54" width="14.81640625" customWidth="1"/>
    <col min="55" max="56" width="11.453125" customWidth="1"/>
  </cols>
  <sheetData>
    <row r="1" spans="2:59" ht="15" thickBot="1" x14ac:dyDescent="0.4">
      <c r="E1" s="3"/>
      <c r="F1" s="3"/>
      <c r="G1" s="3"/>
      <c r="H1" s="3"/>
      <c r="I1" s="3"/>
    </row>
    <row r="2" spans="2:59" ht="23.5" x14ac:dyDescent="0.55000000000000004">
      <c r="E2" s="3"/>
      <c r="F2" s="3"/>
      <c r="G2" s="3"/>
      <c r="H2" s="55" t="s">
        <v>142</v>
      </c>
      <c r="I2" s="56"/>
      <c r="J2" s="56"/>
      <c r="K2" s="56"/>
      <c r="L2" s="57"/>
      <c r="M2" s="58"/>
    </row>
    <row r="3" spans="2:59" ht="24" thickBot="1" x14ac:dyDescent="0.6">
      <c r="E3" s="3"/>
      <c r="F3" s="3"/>
      <c r="G3" s="3"/>
      <c r="H3" s="59" t="s">
        <v>253</v>
      </c>
      <c r="I3" s="60"/>
      <c r="J3" s="61"/>
      <c r="K3" s="61"/>
      <c r="L3" s="60"/>
      <c r="M3" s="62"/>
    </row>
    <row r="4" spans="2:59" x14ac:dyDescent="0.35"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59" x14ac:dyDescent="0.35"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59" x14ac:dyDescent="0.35"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59" x14ac:dyDescent="0.35">
      <c r="E7" s="3"/>
      <c r="F7" s="3"/>
      <c r="G7" s="3"/>
      <c r="H7" s="3"/>
      <c r="I7" s="3"/>
      <c r="O7" s="21"/>
    </row>
    <row r="8" spans="2:59" x14ac:dyDescent="0.35"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2:59" ht="24" thickBot="1" x14ac:dyDescent="0.6">
      <c r="B9" s="63"/>
      <c r="D9" s="15"/>
      <c r="E9" s="22"/>
      <c r="F9" s="22"/>
      <c r="G9" s="22"/>
      <c r="H9" s="22"/>
      <c r="I9" s="22"/>
      <c r="J9" s="32"/>
      <c r="K9" s="32"/>
      <c r="N9" s="40"/>
      <c r="O9" s="32"/>
      <c r="P9" s="4"/>
      <c r="Q9" s="22"/>
      <c r="R9" s="35"/>
      <c r="S9" s="32"/>
      <c r="T9" s="63"/>
    </row>
    <row r="10" spans="2:59" ht="23.5" x14ac:dyDescent="0.55000000000000004">
      <c r="B10" s="63"/>
      <c r="D10" s="15"/>
      <c r="E10" s="22"/>
      <c r="F10" s="23" t="s">
        <v>64</v>
      </c>
      <c r="G10" s="22"/>
      <c r="H10" s="23" t="s">
        <v>146</v>
      </c>
      <c r="I10" s="22"/>
      <c r="J10" s="23" t="s">
        <v>178</v>
      </c>
      <c r="K10" s="22"/>
      <c r="L10" s="24" t="s">
        <v>22</v>
      </c>
      <c r="M10" s="23" t="s">
        <v>23</v>
      </c>
      <c r="N10" s="23" t="s">
        <v>24</v>
      </c>
      <c r="O10" s="23" t="s">
        <v>25</v>
      </c>
      <c r="P10" s="4"/>
      <c r="Q10" s="24" t="s">
        <v>26</v>
      </c>
      <c r="R10" s="23" t="s">
        <v>27</v>
      </c>
      <c r="S10" s="32"/>
      <c r="T10" s="63"/>
      <c r="BB10" t="s">
        <v>149</v>
      </c>
    </row>
    <row r="11" spans="2:59" ht="24" thickBot="1" x14ac:dyDescent="0.6">
      <c r="B11" s="63"/>
      <c r="D11" s="15"/>
      <c r="E11" s="22"/>
      <c r="F11" s="25" t="s">
        <v>28</v>
      </c>
      <c r="G11" s="22"/>
      <c r="H11" s="25" t="s">
        <v>221</v>
      </c>
      <c r="I11" s="22"/>
      <c r="J11" s="25" t="s">
        <v>28</v>
      </c>
      <c r="K11" s="22"/>
      <c r="L11" s="26" t="s">
        <v>29</v>
      </c>
      <c r="M11" s="25" t="s">
        <v>18</v>
      </c>
      <c r="N11" s="25">
        <v>2025</v>
      </c>
      <c r="O11" s="25" t="s">
        <v>28</v>
      </c>
      <c r="P11" s="4"/>
      <c r="Q11" s="26" t="s">
        <v>28</v>
      </c>
      <c r="R11" s="25" t="s">
        <v>143</v>
      </c>
      <c r="S11" s="32"/>
      <c r="T11" s="63"/>
      <c r="AU11" t="s">
        <v>144</v>
      </c>
      <c r="AV11" t="s">
        <v>178</v>
      </c>
      <c r="AW11" t="s">
        <v>215</v>
      </c>
      <c r="AX11" t="s">
        <v>145</v>
      </c>
      <c r="AZ11" t="s">
        <v>32</v>
      </c>
      <c r="BA11" t="s">
        <v>147</v>
      </c>
      <c r="BB11" t="s">
        <v>148</v>
      </c>
      <c r="BC11" t="s">
        <v>150</v>
      </c>
      <c r="BD11" t="s">
        <v>151</v>
      </c>
    </row>
    <row r="12" spans="2:59" ht="24" thickBot="1" x14ac:dyDescent="0.6">
      <c r="B12" s="63"/>
      <c r="D12" s="15"/>
      <c r="E12" s="22"/>
      <c r="F12" s="22"/>
      <c r="G12" s="22"/>
      <c r="H12" s="22"/>
      <c r="I12" s="22"/>
      <c r="J12" s="32"/>
      <c r="K12" s="32"/>
      <c r="N12" s="40"/>
      <c r="O12" s="32"/>
      <c r="P12" s="4"/>
      <c r="Q12" s="22"/>
      <c r="R12" s="35"/>
      <c r="S12" s="32"/>
      <c r="T12" s="63"/>
      <c r="AU12" s="162"/>
      <c r="AV12" s="162"/>
      <c r="AW12" s="162"/>
      <c r="AX12" s="163"/>
      <c r="AY12" s="163"/>
      <c r="AZ12" s="22"/>
      <c r="BA12" s="22"/>
      <c r="BB12" s="162"/>
      <c r="BC12" s="41"/>
      <c r="BD12" s="164"/>
      <c r="BF12" t="s">
        <v>202</v>
      </c>
      <c r="BG12" t="s">
        <v>200</v>
      </c>
    </row>
    <row r="13" spans="2:59" ht="24" thickBot="1" x14ac:dyDescent="0.6">
      <c r="B13" s="63"/>
      <c r="D13" s="218" t="s">
        <v>174</v>
      </c>
      <c r="E13" s="22"/>
      <c r="F13" s="224">
        <f>'Datablad regum'!D22</f>
        <v>100</v>
      </c>
      <c r="G13" s="22"/>
      <c r="H13" s="227">
        <f>Rabatter!D50</f>
        <v>0.43999999999999995</v>
      </c>
      <c r="I13" s="22"/>
      <c r="J13" s="224">
        <f>AW13</f>
        <v>100</v>
      </c>
      <c r="K13" s="32"/>
      <c r="L13" s="29">
        <v>0.1</v>
      </c>
      <c r="M13" s="28">
        <v>0</v>
      </c>
      <c r="N13" s="28">
        <f>SUM(L13:M13)</f>
        <v>0.1</v>
      </c>
      <c r="O13" s="33">
        <v>100</v>
      </c>
      <c r="P13" s="4"/>
      <c r="Q13" s="226">
        <v>100</v>
      </c>
      <c r="R13" s="217">
        <v>100</v>
      </c>
      <c r="S13" s="32"/>
      <c r="T13" s="63"/>
      <c r="AT13" s="27" t="s">
        <v>174</v>
      </c>
      <c r="AU13" s="162">
        <f>'Datablad regum'!C22</f>
        <v>34725</v>
      </c>
      <c r="AV13" s="162">
        <f>AU13-(AU13*H13)</f>
        <v>19446</v>
      </c>
      <c r="AW13" s="162">
        <v>100</v>
      </c>
      <c r="AX13" s="163">
        <f>H13+(100%-H13)*N13</f>
        <v>0.49599999999999994</v>
      </c>
      <c r="AY13" s="163"/>
      <c r="AZ13" s="22">
        <f>AU13-(AU13*AX13)</f>
        <v>17501.400000000001</v>
      </c>
      <c r="BA13" s="22">
        <v>100</v>
      </c>
      <c r="BB13" s="162">
        <f>AZ13*10/7</f>
        <v>25002</v>
      </c>
      <c r="BC13" s="41">
        <f>BB13-AZ13</f>
        <v>7500.5999999999985</v>
      </c>
      <c r="BD13" s="164">
        <v>100</v>
      </c>
      <c r="BF13" s="164">
        <f>F13-(F13*H13)</f>
        <v>56.000000000000007</v>
      </c>
      <c r="BG13" s="164">
        <v>100</v>
      </c>
    </row>
    <row r="14" spans="2:59" ht="7.5" customHeight="1" x14ac:dyDescent="0.55000000000000004">
      <c r="B14" s="63"/>
      <c r="E14" s="22"/>
      <c r="F14" s="225"/>
      <c r="G14" s="22"/>
      <c r="H14" s="22"/>
      <c r="I14" s="22"/>
      <c r="J14" s="225"/>
      <c r="K14" s="22"/>
      <c r="L14" s="34"/>
      <c r="M14" s="22"/>
      <c r="N14" s="22"/>
      <c r="O14" s="4"/>
      <c r="P14" s="4"/>
      <c r="Q14" s="22"/>
      <c r="R14" s="35"/>
      <c r="S14" s="32"/>
      <c r="T14" s="63"/>
      <c r="AZ14" s="22"/>
    </row>
    <row r="15" spans="2:59" ht="23.5" x14ac:dyDescent="0.55000000000000004">
      <c r="B15" s="63"/>
      <c r="D15" s="37" t="s">
        <v>175</v>
      </c>
      <c r="E15" s="22"/>
      <c r="F15" s="224">
        <f>'Datablad regum'!D24</f>
        <v>122.74154067674586</v>
      </c>
      <c r="G15" s="22"/>
      <c r="H15" s="228">
        <v>0.5</v>
      </c>
      <c r="I15" s="22"/>
      <c r="J15" s="224">
        <f>AW15</f>
        <v>109.59066131852309</v>
      </c>
      <c r="K15" s="32"/>
      <c r="L15" s="29">
        <v>0.09</v>
      </c>
      <c r="M15" s="28">
        <v>0</v>
      </c>
      <c r="N15" s="28">
        <f>SUM(L15:M15)</f>
        <v>0.09</v>
      </c>
      <c r="O15" s="33">
        <f>BA15</f>
        <v>110.80833533317332</v>
      </c>
      <c r="P15" s="4"/>
      <c r="Q15" s="1">
        <v>100</v>
      </c>
      <c r="R15" s="31">
        <f>BD15</f>
        <v>74.780550889262216</v>
      </c>
      <c r="S15" s="32"/>
      <c r="T15" s="63"/>
      <c r="AT15" s="37" t="s">
        <v>175</v>
      </c>
      <c r="AU15" s="162">
        <f>'Datablad regum'!C24</f>
        <v>42622</v>
      </c>
      <c r="AV15" s="162">
        <f>AU15-(AU15*H15)</f>
        <v>21311</v>
      </c>
      <c r="AW15" s="162">
        <f>AV15*100/AV$13</f>
        <v>109.59066131852309</v>
      </c>
      <c r="AX15" s="163">
        <f>H15+(100%-H15)*N15</f>
        <v>0.54500000000000004</v>
      </c>
      <c r="AY15" s="163"/>
      <c r="AZ15" s="22">
        <f t="shared" ref="AZ15" si="0">AU15-(AU15*AX15)</f>
        <v>19393.009999999998</v>
      </c>
      <c r="BA15" s="22">
        <f>AZ15*100/AZ$13</f>
        <v>110.80833533317332</v>
      </c>
      <c r="BB15" s="162">
        <f>BB$13*Q15/100</f>
        <v>25002</v>
      </c>
      <c r="BC15" s="41">
        <f>BB15-AZ15</f>
        <v>5608.9900000000016</v>
      </c>
      <c r="BD15" s="164">
        <f>BC15*100/BC$13</f>
        <v>74.780550889262216</v>
      </c>
      <c r="BF15" s="164">
        <f>F15-(F15*H15)</f>
        <v>61.370770338372928</v>
      </c>
      <c r="BG15" s="164">
        <f>(BF15/BF$13)*100</f>
        <v>109.59066131852306</v>
      </c>
    </row>
    <row r="16" spans="2:59" ht="7.5" customHeight="1" thickBot="1" x14ac:dyDescent="0.6">
      <c r="B16" s="63"/>
      <c r="E16" s="22"/>
      <c r="F16" s="225"/>
      <c r="G16" s="22"/>
      <c r="H16" s="22"/>
      <c r="I16" s="22"/>
      <c r="J16" s="225"/>
      <c r="K16" s="22"/>
      <c r="L16" s="34"/>
      <c r="M16" s="22"/>
      <c r="N16" s="22"/>
      <c r="O16" s="4"/>
      <c r="P16" s="4"/>
      <c r="Q16" s="22"/>
      <c r="R16" s="35"/>
      <c r="S16" s="32"/>
      <c r="T16" s="63"/>
      <c r="AZ16" s="22"/>
    </row>
    <row r="17" spans="2:59" ht="24" thickBot="1" x14ac:dyDescent="0.6">
      <c r="B17" s="63"/>
      <c r="D17" s="219" t="s">
        <v>176</v>
      </c>
      <c r="E17" s="22"/>
      <c r="F17" s="224">
        <f>'Datablad regum'!D23</f>
        <v>168.44636429085674</v>
      </c>
      <c r="G17" s="22"/>
      <c r="H17" s="228">
        <v>0.44</v>
      </c>
      <c r="I17" s="22"/>
      <c r="J17" s="224">
        <f>AW17</f>
        <v>168.44636429085674</v>
      </c>
      <c r="K17" s="32"/>
      <c r="L17" s="29">
        <v>0.09</v>
      </c>
      <c r="M17" s="28">
        <v>0</v>
      </c>
      <c r="N17" s="28">
        <f>SUM(L17:M17)</f>
        <v>0.09</v>
      </c>
      <c r="O17" s="33">
        <f>BA17</f>
        <v>170.31799056075513</v>
      </c>
      <c r="P17" s="4"/>
      <c r="Q17" s="1">
        <v>130</v>
      </c>
      <c r="R17" s="31">
        <f>BD17</f>
        <v>35.924688691571312</v>
      </c>
      <c r="S17" s="32"/>
      <c r="T17" s="63"/>
      <c r="AT17" s="105" t="s">
        <v>176</v>
      </c>
      <c r="AU17" s="162">
        <f>'Datablad regum'!C23</f>
        <v>58493</v>
      </c>
      <c r="AV17" s="162">
        <f>AU17-(AU17*H17)</f>
        <v>32756.079999999998</v>
      </c>
      <c r="AW17" s="162">
        <f>AV17*100/AV$13</f>
        <v>168.44636429085674</v>
      </c>
      <c r="AX17" s="163">
        <f>H17+(100%-H17)*N17</f>
        <v>0.4904</v>
      </c>
      <c r="AY17" s="163"/>
      <c r="AZ17" s="22">
        <f>AU17-(AU17*AX17)</f>
        <v>29808.032800000001</v>
      </c>
      <c r="BA17" s="22">
        <f>AZ17*100/AZ$13</f>
        <v>170.31799056075513</v>
      </c>
      <c r="BB17" s="162">
        <f>BB$13*Q17/100</f>
        <v>32502.6</v>
      </c>
      <c r="BC17" s="41">
        <f>BB17-AZ17</f>
        <v>2694.5671999999977</v>
      </c>
      <c r="BD17" s="164">
        <f>BC17*100/BC$13</f>
        <v>35.924688691571312</v>
      </c>
      <c r="BF17" s="164">
        <f>F17-(F17*H17)</f>
        <v>94.329964002879777</v>
      </c>
      <c r="BG17" s="164">
        <f>(BF17/BF$13)*100</f>
        <v>168.44636429085674</v>
      </c>
    </row>
    <row r="18" spans="2:59" ht="7.5" customHeight="1" thickBot="1" x14ac:dyDescent="0.6">
      <c r="B18" s="63"/>
      <c r="E18" s="22"/>
      <c r="F18" s="225"/>
      <c r="G18" s="22"/>
      <c r="H18" s="22"/>
      <c r="I18" s="22"/>
      <c r="J18" s="225"/>
      <c r="K18" s="22"/>
      <c r="L18" s="34"/>
      <c r="M18" s="22"/>
      <c r="N18" s="22"/>
      <c r="O18" s="4"/>
      <c r="P18" s="4"/>
      <c r="Q18" s="22"/>
      <c r="R18" s="35"/>
      <c r="S18" s="32"/>
      <c r="T18" s="63"/>
      <c r="AZ18" s="22"/>
    </row>
    <row r="19" spans="2:59" ht="24" thickBot="1" x14ac:dyDescent="0.6">
      <c r="B19" s="63"/>
      <c r="D19" s="222" t="s">
        <v>214</v>
      </c>
      <c r="E19" s="22"/>
      <c r="F19" s="224">
        <f>'Datablad regum'!D25</f>
        <v>146.53995680345574</v>
      </c>
      <c r="G19" s="22"/>
      <c r="H19" s="228">
        <v>0.52</v>
      </c>
      <c r="I19" s="22"/>
      <c r="J19" s="224">
        <f>AW19</f>
        <v>125.60567726010491</v>
      </c>
      <c r="K19" s="32"/>
      <c r="L19" s="29">
        <v>7.0000000000000007E-2</v>
      </c>
      <c r="M19" s="28">
        <v>0.03</v>
      </c>
      <c r="N19" s="28">
        <f>SUM(L19:M19)</f>
        <v>0.1</v>
      </c>
      <c r="O19" s="33">
        <f>BA19</f>
        <v>125.60567726010488</v>
      </c>
      <c r="P19" s="4"/>
      <c r="Q19" s="1">
        <v>110</v>
      </c>
      <c r="R19" s="31">
        <f>BD19</f>
        <v>73.586753059755281</v>
      </c>
      <c r="S19" s="32"/>
      <c r="T19" s="63"/>
      <c r="AT19" s="223" t="s">
        <v>1</v>
      </c>
      <c r="AU19" s="162">
        <f>'Datablad regum'!C25</f>
        <v>50886</v>
      </c>
      <c r="AV19" s="162">
        <f>AU19-(AU19*H19)</f>
        <v>24425.279999999999</v>
      </c>
      <c r="AW19" s="162">
        <f>AV19*100/AV$13</f>
        <v>125.60567726010491</v>
      </c>
      <c r="AX19" s="163">
        <f>H19+(100%-H19)*N19</f>
        <v>0.56800000000000006</v>
      </c>
      <c r="AY19" s="163"/>
      <c r="AZ19" s="22">
        <f t="shared" ref="AZ19" si="1">AU19-(AU19*AX19)</f>
        <v>21982.751999999997</v>
      </c>
      <c r="BA19" s="22">
        <f>AZ19*100/AZ$13</f>
        <v>125.60567726010488</v>
      </c>
      <c r="BB19" s="162">
        <f>BB$13*Q19/100</f>
        <v>27502.2</v>
      </c>
      <c r="BC19" s="41">
        <f>BB19-AZ19</f>
        <v>5519.448000000004</v>
      </c>
      <c r="BD19" s="164">
        <f>BC19*100/BC$13</f>
        <v>73.586753059755281</v>
      </c>
      <c r="BF19" s="164">
        <f>F19-(F19*H19)</f>
        <v>70.339179265658757</v>
      </c>
      <c r="BG19" s="164">
        <f>(BF19/BF$13)*100</f>
        <v>125.6056772601049</v>
      </c>
    </row>
    <row r="20" spans="2:59" ht="23.5" x14ac:dyDescent="0.55000000000000004">
      <c r="B20" s="63"/>
      <c r="D20" s="15"/>
      <c r="E20" s="22"/>
      <c r="F20" s="22"/>
      <c r="G20" s="22"/>
      <c r="H20" s="22"/>
      <c r="I20" s="22"/>
      <c r="J20" s="32"/>
      <c r="K20" s="32"/>
      <c r="N20" s="40"/>
      <c r="O20" s="32"/>
      <c r="P20" s="4"/>
      <c r="Q20" s="22"/>
      <c r="R20" s="35"/>
      <c r="S20" s="32"/>
      <c r="T20" s="63"/>
      <c r="AT20" s="32"/>
      <c r="AU20" s="32"/>
      <c r="AV20" s="32"/>
      <c r="AW20" s="32"/>
      <c r="AZ20" s="22"/>
    </row>
    <row r="21" spans="2:59" x14ac:dyDescent="0.35"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</row>
    <row r="22" spans="2:59" ht="23.5" x14ac:dyDescent="0.55000000000000004">
      <c r="E22" s="22"/>
      <c r="F22" s="22"/>
      <c r="G22" s="22"/>
      <c r="H22" s="22"/>
      <c r="I22" s="22"/>
      <c r="J22" s="4"/>
      <c r="K22" s="4"/>
      <c r="L22" s="4"/>
      <c r="M22" s="4"/>
      <c r="N22" s="4"/>
      <c r="O22" s="4"/>
      <c r="P22" s="4"/>
      <c r="Q22" s="4"/>
      <c r="R22" s="4"/>
    </row>
    <row r="23" spans="2:59" ht="23.5" x14ac:dyDescent="0.55000000000000004">
      <c r="E23" s="3"/>
      <c r="F23" s="3"/>
      <c r="G23" s="3"/>
      <c r="H23" s="3"/>
      <c r="I23" s="3"/>
      <c r="J23" s="35"/>
      <c r="K23" s="3"/>
      <c r="L23" s="45" t="s">
        <v>33</v>
      </c>
      <c r="M23" s="30"/>
      <c r="N23" s="30"/>
    </row>
    <row r="24" spans="2:59" ht="23.5" x14ac:dyDescent="0.55000000000000004">
      <c r="E24" s="3"/>
      <c r="F24" s="3"/>
      <c r="G24" s="3"/>
      <c r="H24" s="3"/>
      <c r="I24" s="3"/>
      <c r="J24" s="35"/>
      <c r="K24" s="3"/>
      <c r="L24" s="45" t="s">
        <v>30</v>
      </c>
      <c r="M24" s="30"/>
      <c r="N24" s="30"/>
    </row>
    <row r="25" spans="2:59" x14ac:dyDescent="0.35">
      <c r="H25" s="3"/>
    </row>
  </sheetData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3"/>
  <sheetViews>
    <sheetView workbookViewId="0">
      <selection activeCell="D43" sqref="D43"/>
    </sheetView>
  </sheetViews>
  <sheetFormatPr baseColWidth="10" defaultRowHeight="14.5" x14ac:dyDescent="0.35"/>
  <cols>
    <col min="1" max="1" width="29.54296875" customWidth="1"/>
    <col min="2" max="2" width="24.81640625" customWidth="1"/>
    <col min="3" max="3" width="2.54296875" customWidth="1"/>
    <col min="4" max="4" width="30.54296875" customWidth="1"/>
    <col min="5" max="5" width="23" customWidth="1"/>
    <col min="6" max="6" width="3" customWidth="1"/>
    <col min="7" max="7" width="30.453125" customWidth="1"/>
    <col min="8" max="8" width="23.453125" customWidth="1"/>
    <col min="9" max="9" width="2.453125" customWidth="1"/>
    <col min="10" max="10" width="24" customWidth="1"/>
    <col min="11" max="11" width="10.1796875" customWidth="1"/>
  </cols>
  <sheetData>
    <row r="1" spans="1:10" ht="33.5" x14ac:dyDescent="0.75">
      <c r="A1" s="5" t="s">
        <v>254</v>
      </c>
    </row>
    <row r="2" spans="1:10" ht="33.5" x14ac:dyDescent="0.75">
      <c r="A2" s="5"/>
    </row>
    <row r="4" spans="1:10" x14ac:dyDescent="0.35">
      <c r="J4" s="66"/>
    </row>
    <row r="5" spans="1:10" ht="15" thickBot="1" x14ac:dyDescent="0.4"/>
    <row r="6" spans="1:10" ht="24" thickBot="1" x14ac:dyDescent="0.6">
      <c r="A6" s="16" t="s">
        <v>259</v>
      </c>
      <c r="B6" s="17"/>
      <c r="D6" s="18" t="s">
        <v>260</v>
      </c>
      <c r="E6" s="19"/>
      <c r="G6" s="73" t="s">
        <v>261</v>
      </c>
      <c r="H6" s="74"/>
    </row>
    <row r="7" spans="1:10" x14ac:dyDescent="0.35">
      <c r="A7" s="69"/>
      <c r="B7" s="70"/>
      <c r="D7" s="69"/>
      <c r="E7" s="70"/>
      <c r="G7" s="106"/>
      <c r="H7" s="107"/>
    </row>
    <row r="8" spans="1:10" x14ac:dyDescent="0.35">
      <c r="A8" s="10" t="s">
        <v>224</v>
      </c>
      <c r="B8" s="75">
        <v>0.05</v>
      </c>
      <c r="D8" s="10" t="s">
        <v>129</v>
      </c>
      <c r="E8" s="75">
        <v>0.05</v>
      </c>
      <c r="G8" s="10" t="s">
        <v>105</v>
      </c>
      <c r="H8" s="75">
        <v>0.05</v>
      </c>
    </row>
    <row r="9" spans="1:10" x14ac:dyDescent="0.35">
      <c r="A9" s="10" t="s">
        <v>225</v>
      </c>
      <c r="B9" s="75">
        <v>0.06</v>
      </c>
      <c r="D9" s="10" t="s">
        <v>230</v>
      </c>
      <c r="E9" s="75">
        <v>0.06</v>
      </c>
      <c r="G9" s="10" t="s">
        <v>53</v>
      </c>
      <c r="H9" s="75">
        <v>5.5E-2</v>
      </c>
    </row>
    <row r="10" spans="1:10" x14ac:dyDescent="0.35">
      <c r="A10" s="10" t="s">
        <v>226</v>
      </c>
      <c r="B10" s="75">
        <v>7.0000000000000007E-2</v>
      </c>
      <c r="D10" s="10" t="s">
        <v>127</v>
      </c>
      <c r="E10" s="75">
        <v>7.0000000000000007E-2</v>
      </c>
      <c r="G10" s="10" t="s">
        <v>19</v>
      </c>
      <c r="H10" s="75">
        <v>0.06</v>
      </c>
    </row>
    <row r="11" spans="1:10" x14ac:dyDescent="0.35">
      <c r="A11" s="10" t="s">
        <v>227</v>
      </c>
      <c r="B11" s="75">
        <v>7.4999999999999997E-2</v>
      </c>
      <c r="D11" s="10"/>
      <c r="E11" s="75"/>
      <c r="G11" s="10" t="s">
        <v>109</v>
      </c>
      <c r="H11" s="75">
        <v>6.5000000000000002E-2</v>
      </c>
    </row>
    <row r="12" spans="1:10" x14ac:dyDescent="0.35">
      <c r="A12" s="10" t="s">
        <v>106</v>
      </c>
      <c r="B12" s="75">
        <v>0.08</v>
      </c>
      <c r="D12" s="10"/>
      <c r="E12" s="75"/>
      <c r="G12" s="10" t="s">
        <v>111</v>
      </c>
      <c r="H12" s="75">
        <v>7.0000000000000007E-2</v>
      </c>
    </row>
    <row r="13" spans="1:10" x14ac:dyDescent="0.35">
      <c r="A13" s="10" t="s">
        <v>107</v>
      </c>
      <c r="B13" s="75">
        <v>8.5000000000000006E-2</v>
      </c>
      <c r="D13" s="10"/>
      <c r="E13" s="75"/>
      <c r="G13" s="10" t="s">
        <v>112</v>
      </c>
      <c r="H13" s="75">
        <v>0.08</v>
      </c>
    </row>
    <row r="14" spans="1:10" ht="15" thickBot="1" x14ac:dyDescent="0.4">
      <c r="A14" s="10" t="s">
        <v>110</v>
      </c>
      <c r="B14" s="75">
        <v>0.09</v>
      </c>
      <c r="D14" s="10"/>
      <c r="E14" s="75"/>
      <c r="G14" s="195" t="s">
        <v>20</v>
      </c>
      <c r="H14" s="242">
        <v>0.09</v>
      </c>
    </row>
    <row r="15" spans="1:10" x14ac:dyDescent="0.35">
      <c r="A15" s="10" t="s">
        <v>228</v>
      </c>
      <c r="B15" s="75">
        <v>9.5000000000000001E-2</v>
      </c>
      <c r="D15" s="10"/>
      <c r="E15" s="75"/>
    </row>
    <row r="16" spans="1:10" ht="15" thickBot="1" x14ac:dyDescent="0.4">
      <c r="A16" s="195" t="s">
        <v>229</v>
      </c>
      <c r="B16" s="242">
        <v>0.1</v>
      </c>
      <c r="D16" s="195"/>
      <c r="E16" s="242"/>
      <c r="H16" s="98"/>
    </row>
    <row r="17" spans="1:8" ht="15" thickBot="1" x14ac:dyDescent="0.4">
      <c r="E17" s="98"/>
    </row>
    <row r="18" spans="1:8" ht="15" thickBot="1" x14ac:dyDescent="0.4">
      <c r="A18" s="149" t="s">
        <v>258</v>
      </c>
      <c r="B18" s="150"/>
      <c r="D18" s="146" t="s">
        <v>232</v>
      </c>
      <c r="E18" s="72"/>
      <c r="G18" s="146" t="s">
        <v>141</v>
      </c>
      <c r="H18" s="72"/>
    </row>
    <row r="19" spans="1:8" x14ac:dyDescent="0.35">
      <c r="B19" s="98"/>
      <c r="D19" s="10" t="s">
        <v>130</v>
      </c>
      <c r="E19" s="75">
        <v>7.4999999999999997E-3</v>
      </c>
      <c r="G19" s="10" t="s">
        <v>231</v>
      </c>
      <c r="H19" s="75">
        <v>5.0000000000000001E-3</v>
      </c>
    </row>
    <row r="20" spans="1:8" x14ac:dyDescent="0.35">
      <c r="B20" s="98"/>
      <c r="D20" s="10" t="s">
        <v>131</v>
      </c>
      <c r="E20" s="75">
        <v>0.01</v>
      </c>
      <c r="G20" s="10" t="s">
        <v>115</v>
      </c>
      <c r="H20" s="75">
        <v>0.01</v>
      </c>
    </row>
    <row r="21" spans="1:8" x14ac:dyDescent="0.35">
      <c r="B21" s="98"/>
      <c r="D21" s="10" t="s">
        <v>132</v>
      </c>
      <c r="E21" s="75">
        <v>0.02</v>
      </c>
      <c r="G21" s="10" t="s">
        <v>116</v>
      </c>
      <c r="H21" s="75">
        <v>1.4999999999999999E-2</v>
      </c>
    </row>
    <row r="22" spans="1:8" x14ac:dyDescent="0.35">
      <c r="B22" s="98"/>
      <c r="D22" s="81" t="s">
        <v>133</v>
      </c>
      <c r="E22" s="104">
        <v>2.5000000000000001E-2</v>
      </c>
      <c r="G22" s="10" t="s">
        <v>117</v>
      </c>
      <c r="H22" s="75">
        <v>0.02</v>
      </c>
    </row>
    <row r="23" spans="1:8" x14ac:dyDescent="0.35">
      <c r="B23" s="98"/>
      <c r="D23" s="81" t="s">
        <v>140</v>
      </c>
      <c r="E23" s="104">
        <v>0.03</v>
      </c>
      <c r="G23" s="10" t="s">
        <v>118</v>
      </c>
      <c r="H23" s="75">
        <v>2.5000000000000001E-2</v>
      </c>
    </row>
    <row r="24" spans="1:8" x14ac:dyDescent="0.35">
      <c r="B24" s="98"/>
      <c r="D24" s="81" t="s">
        <v>114</v>
      </c>
      <c r="E24" s="104">
        <v>3.5000000000000003E-2</v>
      </c>
      <c r="G24" s="10" t="s">
        <v>119</v>
      </c>
      <c r="H24" s="75">
        <v>0.03</v>
      </c>
    </row>
    <row r="25" spans="1:8" x14ac:dyDescent="0.35">
      <c r="B25" s="98"/>
      <c r="G25" s="10" t="s">
        <v>120</v>
      </c>
      <c r="H25" s="75">
        <v>3.5000000000000003E-2</v>
      </c>
    </row>
    <row r="26" spans="1:8" ht="15" thickBot="1" x14ac:dyDescent="0.4">
      <c r="B26" s="98"/>
      <c r="G26" s="229"/>
      <c r="H26" s="230"/>
    </row>
    <row r="27" spans="1:8" ht="15" thickBot="1" x14ac:dyDescent="0.4">
      <c r="D27" s="149" t="s">
        <v>256</v>
      </c>
      <c r="E27" s="150"/>
      <c r="G27" s="79" t="s">
        <v>122</v>
      </c>
      <c r="H27" s="147"/>
    </row>
    <row r="28" spans="1:8" ht="15" thickBot="1" x14ac:dyDescent="0.4">
      <c r="B28" s="98"/>
      <c r="D28" s="66"/>
      <c r="E28" s="99"/>
      <c r="G28" s="151" t="s">
        <v>257</v>
      </c>
      <c r="H28" s="152"/>
    </row>
    <row r="29" spans="1:8" ht="15" thickBot="1" x14ac:dyDescent="0.4">
      <c r="A29" s="66"/>
      <c r="B29" s="66"/>
    </row>
    <row r="30" spans="1:8" ht="15" thickBot="1" x14ac:dyDescent="0.4">
      <c r="A30" s="79" t="s">
        <v>21</v>
      </c>
      <c r="B30" s="80">
        <v>0.1</v>
      </c>
      <c r="D30" s="79" t="s">
        <v>21</v>
      </c>
      <c r="E30" s="80">
        <v>0.105</v>
      </c>
      <c r="G30" s="79" t="s">
        <v>121</v>
      </c>
      <c r="H30" s="80">
        <v>0.125</v>
      </c>
    </row>
    <row r="31" spans="1:8" ht="15" thickBot="1" x14ac:dyDescent="0.4"/>
    <row r="32" spans="1:8" ht="24" thickBot="1" x14ac:dyDescent="0.6">
      <c r="A32" s="131" t="s">
        <v>263</v>
      </c>
      <c r="B32" s="20"/>
      <c r="D32" s="153" t="s">
        <v>266</v>
      </c>
      <c r="E32" s="154"/>
      <c r="G32" s="76" t="s">
        <v>264</v>
      </c>
      <c r="H32" s="77"/>
    </row>
    <row r="33" spans="1:8" x14ac:dyDescent="0.35">
      <c r="A33" s="69"/>
      <c r="B33" s="70"/>
      <c r="D33" s="106"/>
      <c r="E33" s="107"/>
      <c r="G33" s="69"/>
      <c r="H33" s="70"/>
    </row>
    <row r="34" spans="1:8" x14ac:dyDescent="0.35">
      <c r="A34" s="10" t="s">
        <v>123</v>
      </c>
      <c r="B34" s="75">
        <v>0.05</v>
      </c>
      <c r="D34" s="10" t="s">
        <v>52</v>
      </c>
      <c r="E34" s="75">
        <v>0.05</v>
      </c>
      <c r="G34" s="10" t="s">
        <v>52</v>
      </c>
      <c r="H34" s="75">
        <v>0.05</v>
      </c>
    </row>
    <row r="35" spans="1:8" x14ac:dyDescent="0.35">
      <c r="A35" s="10" t="s">
        <v>51</v>
      </c>
      <c r="B35" s="75">
        <f>B34+0.5%</f>
        <v>5.5E-2</v>
      </c>
      <c r="D35" s="10" t="s">
        <v>51</v>
      </c>
      <c r="E35" s="75">
        <v>0.06</v>
      </c>
      <c r="G35" s="10" t="s">
        <v>51</v>
      </c>
      <c r="H35" s="75">
        <v>0.06</v>
      </c>
    </row>
    <row r="36" spans="1:8" x14ac:dyDescent="0.35">
      <c r="A36" s="10" t="s">
        <v>19</v>
      </c>
      <c r="B36" s="75">
        <f>B35+0.5%</f>
        <v>0.06</v>
      </c>
      <c r="D36" s="10" t="s">
        <v>19</v>
      </c>
      <c r="E36" s="75">
        <v>7.0000000000000007E-2</v>
      </c>
      <c r="G36" s="10" t="s">
        <v>19</v>
      </c>
      <c r="H36" s="75">
        <v>7.0000000000000007E-2</v>
      </c>
    </row>
    <row r="37" spans="1:8" x14ac:dyDescent="0.35">
      <c r="A37" s="10" t="s">
        <v>109</v>
      </c>
      <c r="B37" s="75">
        <f>B36+0.5%</f>
        <v>6.5000000000000002E-2</v>
      </c>
      <c r="D37" s="10" t="s">
        <v>108</v>
      </c>
      <c r="E37" s="75">
        <v>0.08</v>
      </c>
      <c r="G37" s="10" t="s">
        <v>108</v>
      </c>
      <c r="H37" s="75">
        <v>0.08</v>
      </c>
    </row>
    <row r="38" spans="1:8" ht="15" thickBot="1" x14ac:dyDescent="0.4">
      <c r="A38" s="10" t="s">
        <v>111</v>
      </c>
      <c r="B38" s="75">
        <f>B37+0.5%</f>
        <v>7.0000000000000007E-2</v>
      </c>
      <c r="D38" s="235" t="s">
        <v>109</v>
      </c>
      <c r="E38" s="236">
        <v>0.09</v>
      </c>
      <c r="G38" s="10" t="s">
        <v>109</v>
      </c>
      <c r="H38" s="75">
        <v>0.09</v>
      </c>
    </row>
    <row r="39" spans="1:8" x14ac:dyDescent="0.35">
      <c r="A39" s="10" t="s">
        <v>112</v>
      </c>
      <c r="B39" s="75">
        <f>B38+0.5%</f>
        <v>7.5000000000000011E-2</v>
      </c>
      <c r="D39" s="106"/>
      <c r="E39" s="107"/>
      <c r="G39" s="69"/>
      <c r="H39" s="234"/>
    </row>
    <row r="40" spans="1:8" x14ac:dyDescent="0.35">
      <c r="A40" s="69"/>
      <c r="B40" s="70"/>
      <c r="D40" s="69"/>
      <c r="E40" s="70"/>
      <c r="G40" s="69"/>
      <c r="H40" s="234"/>
    </row>
    <row r="41" spans="1:8" x14ac:dyDescent="0.35">
      <c r="A41" s="69"/>
      <c r="B41" s="70"/>
      <c r="D41" s="69"/>
      <c r="E41" s="70"/>
      <c r="G41" s="69"/>
      <c r="H41" s="234"/>
    </row>
    <row r="42" spans="1:8" x14ac:dyDescent="0.35">
      <c r="A42" s="146" t="s">
        <v>113</v>
      </c>
      <c r="B42" s="72"/>
      <c r="D42" s="160"/>
      <c r="E42" s="157"/>
      <c r="G42" s="160"/>
      <c r="H42" s="157"/>
    </row>
    <row r="43" spans="1:8" x14ac:dyDescent="0.35">
      <c r="A43" s="10" t="s">
        <v>134</v>
      </c>
      <c r="B43" s="75">
        <v>0.01</v>
      </c>
      <c r="D43" s="69"/>
      <c r="E43" s="157"/>
      <c r="G43" s="69"/>
      <c r="H43" s="234"/>
    </row>
    <row r="44" spans="1:8" x14ac:dyDescent="0.35">
      <c r="A44" s="10" t="s">
        <v>135</v>
      </c>
      <c r="B44" s="75">
        <v>0.02</v>
      </c>
      <c r="D44" s="69"/>
      <c r="E44" s="70"/>
      <c r="G44" s="69"/>
      <c r="H44" s="234"/>
    </row>
    <row r="45" spans="1:8" x14ac:dyDescent="0.35">
      <c r="A45" s="10" t="s">
        <v>136</v>
      </c>
      <c r="B45" s="75">
        <v>2.5000000000000001E-2</v>
      </c>
      <c r="D45" s="69"/>
      <c r="E45" s="234"/>
      <c r="G45" s="69"/>
      <c r="H45" s="234"/>
    </row>
    <row r="46" spans="1:8" x14ac:dyDescent="0.35">
      <c r="A46" s="10" t="s">
        <v>137</v>
      </c>
      <c r="B46" s="75">
        <v>0.03</v>
      </c>
      <c r="D46" s="69"/>
      <c r="E46" s="234"/>
      <c r="G46" s="69"/>
      <c r="H46" s="234"/>
    </row>
    <row r="47" spans="1:8" x14ac:dyDescent="0.35">
      <c r="A47" s="10" t="s">
        <v>138</v>
      </c>
      <c r="B47" s="75">
        <v>3.5000000000000003E-2</v>
      </c>
      <c r="D47" s="69"/>
      <c r="E47" s="234"/>
      <c r="G47" s="69"/>
      <c r="H47" s="234"/>
    </row>
    <row r="48" spans="1:8" ht="15" thickBot="1" x14ac:dyDescent="0.4">
      <c r="A48" s="10" t="s">
        <v>139</v>
      </c>
      <c r="B48" s="75">
        <v>0.04</v>
      </c>
      <c r="D48" s="69"/>
      <c r="E48" s="234"/>
      <c r="G48" s="69"/>
      <c r="H48" s="234"/>
    </row>
    <row r="49" spans="1:8" ht="15" thickBot="1" x14ac:dyDescent="0.4">
      <c r="A49" s="69"/>
      <c r="B49" s="70"/>
      <c r="D49" s="231" t="s">
        <v>262</v>
      </c>
      <c r="E49" s="232"/>
      <c r="G49" s="69"/>
      <c r="H49" s="70"/>
    </row>
    <row r="50" spans="1:8" ht="15" thickBot="1" x14ac:dyDescent="0.4">
      <c r="A50" s="149" t="s">
        <v>233</v>
      </c>
      <c r="B50" s="150"/>
      <c r="D50" s="148" t="s">
        <v>125</v>
      </c>
      <c r="E50" s="233"/>
      <c r="G50" s="231" t="s">
        <v>262</v>
      </c>
      <c r="H50" s="238"/>
    </row>
    <row r="51" spans="1:8" ht="15" thickBot="1" x14ac:dyDescent="0.4">
      <c r="A51" s="69"/>
      <c r="B51" s="157"/>
      <c r="G51" s="69"/>
      <c r="H51" s="70"/>
    </row>
    <row r="52" spans="1:8" ht="15" thickBot="1" x14ac:dyDescent="0.4">
      <c r="A52" s="79" t="s">
        <v>121</v>
      </c>
      <c r="B52" s="80">
        <v>0.115</v>
      </c>
      <c r="D52" s="79" t="s">
        <v>121</v>
      </c>
      <c r="E52" s="80">
        <v>0.09</v>
      </c>
      <c r="G52" s="79" t="s">
        <v>121</v>
      </c>
      <c r="H52" s="80">
        <v>0.09</v>
      </c>
    </row>
    <row r="53" spans="1:8" x14ac:dyDescent="0.35">
      <c r="B53" s="98"/>
    </row>
    <row r="54" spans="1:8" ht="15" thickBot="1" x14ac:dyDescent="0.4"/>
    <row r="55" spans="1:8" ht="26.5" thickBot="1" x14ac:dyDescent="0.65">
      <c r="A55" s="158" t="s">
        <v>265</v>
      </c>
      <c r="B55" s="159"/>
      <c r="D55" s="212" t="s">
        <v>175</v>
      </c>
      <c r="E55" s="213"/>
      <c r="G55" s="214" t="s">
        <v>174</v>
      </c>
      <c r="H55" s="215"/>
    </row>
    <row r="56" spans="1:8" x14ac:dyDescent="0.35">
      <c r="A56" s="10"/>
      <c r="B56" s="75"/>
      <c r="D56" s="189"/>
      <c r="E56" s="239"/>
    </row>
    <row r="57" spans="1:8" x14ac:dyDescent="0.35">
      <c r="A57" s="10" t="s">
        <v>234</v>
      </c>
      <c r="B57" s="75">
        <v>0.05</v>
      </c>
      <c r="D57" s="10" t="s">
        <v>126</v>
      </c>
      <c r="E57" s="71">
        <v>0.05</v>
      </c>
      <c r="G57" s="81" t="s">
        <v>126</v>
      </c>
      <c r="H57" s="82">
        <v>0.05</v>
      </c>
    </row>
    <row r="58" spans="1:8" x14ac:dyDescent="0.35">
      <c r="A58" s="10" t="s">
        <v>235</v>
      </c>
      <c r="B58" s="75">
        <v>0.06</v>
      </c>
      <c r="D58" s="10" t="s">
        <v>203</v>
      </c>
      <c r="E58" s="71">
        <v>0.06</v>
      </c>
      <c r="G58" s="81" t="s">
        <v>203</v>
      </c>
      <c r="H58" s="82">
        <v>0.06</v>
      </c>
    </row>
    <row r="59" spans="1:8" x14ac:dyDescent="0.35">
      <c r="A59" s="10" t="s">
        <v>236</v>
      </c>
      <c r="B59" s="75">
        <v>7.0000000000000007E-2</v>
      </c>
      <c r="D59" s="10" t="s">
        <v>204</v>
      </c>
      <c r="E59" s="71">
        <v>7.0000000000000007E-2</v>
      </c>
      <c r="G59" s="81" t="s">
        <v>204</v>
      </c>
      <c r="H59" s="82">
        <v>7.0000000000000007E-2</v>
      </c>
    </row>
    <row r="60" spans="1:8" x14ac:dyDescent="0.35">
      <c r="A60" s="10" t="s">
        <v>237</v>
      </c>
      <c r="B60" s="75">
        <v>7.4999999999999997E-2</v>
      </c>
      <c r="D60" s="10" t="s">
        <v>205</v>
      </c>
      <c r="E60" s="71">
        <v>0.08</v>
      </c>
      <c r="G60" s="81" t="s">
        <v>205</v>
      </c>
      <c r="H60" s="82">
        <v>0.08</v>
      </c>
    </row>
    <row r="61" spans="1:8" x14ac:dyDescent="0.35">
      <c r="A61" s="10" t="s">
        <v>238</v>
      </c>
      <c r="B61" s="75">
        <v>0.08</v>
      </c>
      <c r="D61" s="10" t="s">
        <v>206</v>
      </c>
      <c r="E61" s="71">
        <v>0.09</v>
      </c>
      <c r="G61" s="81" t="s">
        <v>109</v>
      </c>
      <c r="H61" s="82">
        <v>0.1</v>
      </c>
    </row>
    <row r="62" spans="1:8" x14ac:dyDescent="0.35">
      <c r="A62" s="10" t="s">
        <v>239</v>
      </c>
      <c r="B62" s="75">
        <v>8.5000000000000006E-2</v>
      </c>
      <c r="D62" s="10" t="s">
        <v>124</v>
      </c>
      <c r="E62" s="71">
        <v>0.1</v>
      </c>
    </row>
    <row r="63" spans="1:8" x14ac:dyDescent="0.35">
      <c r="A63" s="10" t="s">
        <v>240</v>
      </c>
      <c r="B63" s="75">
        <v>0.09</v>
      </c>
      <c r="D63" s="69"/>
      <c r="E63" s="70"/>
    </row>
    <row r="64" spans="1:8" x14ac:dyDescent="0.35">
      <c r="A64" s="10" t="s">
        <v>241</v>
      </c>
      <c r="B64" s="75">
        <v>9.5000000000000001E-2</v>
      </c>
      <c r="D64" s="240" t="s">
        <v>113</v>
      </c>
      <c r="E64" s="241"/>
    </row>
    <row r="65" spans="1:8" x14ac:dyDescent="0.35">
      <c r="A65" s="10"/>
      <c r="B65" s="71"/>
      <c r="D65" s="10"/>
      <c r="E65" s="156"/>
    </row>
    <row r="66" spans="1:8" x14ac:dyDescent="0.35">
      <c r="A66" s="10"/>
      <c r="B66" s="71"/>
      <c r="D66" s="10" t="s">
        <v>207</v>
      </c>
      <c r="E66" s="71">
        <v>0.01</v>
      </c>
    </row>
    <row r="67" spans="1:8" ht="15" thickBot="1" x14ac:dyDescent="0.4">
      <c r="A67" s="235"/>
      <c r="B67" s="237"/>
      <c r="D67" s="10" t="s">
        <v>208</v>
      </c>
      <c r="E67" s="71">
        <v>0.02</v>
      </c>
    </row>
    <row r="68" spans="1:8" ht="15" thickBot="1" x14ac:dyDescent="0.4">
      <c r="A68" s="231" t="s">
        <v>262</v>
      </c>
      <c r="B68" s="238"/>
      <c r="D68" s="10" t="s">
        <v>209</v>
      </c>
      <c r="E68" s="71">
        <v>0.03</v>
      </c>
    </row>
    <row r="69" spans="1:8" x14ac:dyDescent="0.35">
      <c r="A69" s="160"/>
      <c r="B69" s="70"/>
      <c r="D69" s="69"/>
      <c r="E69" s="70"/>
    </row>
    <row r="70" spans="1:8" x14ac:dyDescent="0.35">
      <c r="A70" s="146" t="s">
        <v>113</v>
      </c>
      <c r="B70" s="155"/>
      <c r="D70" s="69"/>
      <c r="E70" s="70"/>
    </row>
    <row r="71" spans="1:8" x14ac:dyDescent="0.35">
      <c r="A71" s="10" t="s">
        <v>128</v>
      </c>
      <c r="B71" s="75">
        <v>0.01</v>
      </c>
      <c r="D71" s="69"/>
      <c r="E71" s="70"/>
    </row>
    <row r="72" spans="1:8" ht="15" thickBot="1" x14ac:dyDescent="0.4">
      <c r="A72" s="235"/>
      <c r="B72" s="236"/>
      <c r="D72" s="69"/>
      <c r="E72" s="70"/>
    </row>
    <row r="73" spans="1:8" ht="15" thickBot="1" x14ac:dyDescent="0.4">
      <c r="A73" s="79" t="s">
        <v>242</v>
      </c>
      <c r="B73" s="80" t="s">
        <v>243</v>
      </c>
      <c r="D73" s="79" t="s">
        <v>242</v>
      </c>
      <c r="E73" s="80">
        <v>0.13</v>
      </c>
      <c r="G73" s="79" t="s">
        <v>242</v>
      </c>
      <c r="H73" s="80">
        <v>0.1</v>
      </c>
    </row>
  </sheetData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68B02-9B54-48D1-AB7E-F134B7D2089B}">
  <sheetPr>
    <pageSetUpPr fitToPage="1"/>
  </sheetPr>
  <dimension ref="A1:S58"/>
  <sheetViews>
    <sheetView zoomScale="90" zoomScaleNormal="90" workbookViewId="0">
      <selection activeCell="F3" sqref="F3"/>
    </sheetView>
  </sheetViews>
  <sheetFormatPr baseColWidth="10" defaultRowHeight="14.5" x14ac:dyDescent="0.35"/>
  <cols>
    <col min="1" max="1" width="23.7265625" customWidth="1"/>
    <col min="2" max="2" width="8.81640625" customWidth="1"/>
    <col min="3" max="3" width="17.1796875" customWidth="1"/>
    <col min="4" max="4" width="11.81640625" customWidth="1"/>
    <col min="5" max="5" width="2.453125" customWidth="1"/>
    <col min="6" max="6" width="31.6328125" customWidth="1"/>
    <col min="8" max="8" width="13.54296875" customWidth="1"/>
    <col min="9" max="9" width="26.1796875" customWidth="1"/>
    <col min="10" max="10" width="2.54296875" customWidth="1"/>
    <col min="11" max="11" width="21.36328125" customWidth="1"/>
    <col min="13" max="13" width="14.90625" customWidth="1"/>
    <col min="14" max="14" width="24.6328125" customWidth="1"/>
    <col min="15" max="15" width="2.54296875" customWidth="1"/>
    <col min="16" max="16" width="19.7265625" customWidth="1"/>
    <col min="18" max="18" width="23.1796875" customWidth="1"/>
    <col min="19" max="19" width="13.54296875" customWidth="1"/>
    <col min="22" max="22" width="14" customWidth="1"/>
    <col min="24" max="24" width="2.453125" customWidth="1"/>
    <col min="27" max="27" width="11.54296875" customWidth="1"/>
  </cols>
  <sheetData>
    <row r="1" spans="1:19" ht="33.5" x14ac:dyDescent="0.75">
      <c r="A1" s="5" t="s">
        <v>255</v>
      </c>
    </row>
    <row r="3" spans="1:19" x14ac:dyDescent="0.35">
      <c r="P3" s="66"/>
      <c r="Q3" s="115"/>
    </row>
    <row r="4" spans="1:19" ht="15" thickBot="1" x14ac:dyDescent="0.4"/>
    <row r="5" spans="1:19" ht="24" thickBot="1" x14ac:dyDescent="0.6">
      <c r="A5" s="16" t="s">
        <v>89</v>
      </c>
      <c r="B5" s="116"/>
      <c r="C5" s="116"/>
      <c r="D5" s="17"/>
      <c r="F5" s="18" t="s">
        <v>90</v>
      </c>
      <c r="G5" s="117"/>
      <c r="H5" s="117"/>
      <c r="I5" s="19"/>
      <c r="K5" s="118" t="s">
        <v>91</v>
      </c>
      <c r="L5" s="118"/>
      <c r="M5" s="118"/>
      <c r="N5" s="118"/>
      <c r="P5" s="119" t="s">
        <v>92</v>
      </c>
      <c r="Q5" s="119"/>
      <c r="R5" s="119"/>
      <c r="S5" s="119"/>
    </row>
    <row r="7" spans="1:19" x14ac:dyDescent="0.35">
      <c r="A7" s="81" t="s">
        <v>18</v>
      </c>
      <c r="B7" s="113" t="s">
        <v>93</v>
      </c>
      <c r="C7" s="113" t="s">
        <v>94</v>
      </c>
      <c r="D7" s="113" t="s">
        <v>95</v>
      </c>
      <c r="F7" s="81" t="s">
        <v>18</v>
      </c>
      <c r="G7" s="113" t="s">
        <v>93</v>
      </c>
      <c r="H7" s="113" t="s">
        <v>94</v>
      </c>
      <c r="I7" s="113" t="s">
        <v>95</v>
      </c>
      <c r="K7" s="81" t="s">
        <v>18</v>
      </c>
      <c r="L7" s="113" t="s">
        <v>93</v>
      </c>
      <c r="M7" s="113" t="s">
        <v>94</v>
      </c>
      <c r="N7" s="113" t="s">
        <v>95</v>
      </c>
      <c r="P7" s="81" t="s">
        <v>18</v>
      </c>
      <c r="Q7" s="113" t="s">
        <v>93</v>
      </c>
      <c r="R7" s="113" t="s">
        <v>94</v>
      </c>
      <c r="S7" s="113" t="s">
        <v>95</v>
      </c>
    </row>
    <row r="8" spans="1:19" x14ac:dyDescent="0.35">
      <c r="A8" s="81"/>
      <c r="B8" s="81"/>
      <c r="C8" s="81"/>
      <c r="D8" s="81"/>
      <c r="F8" s="81"/>
      <c r="G8" s="113"/>
      <c r="H8" s="113"/>
      <c r="I8" s="113"/>
      <c r="K8" s="81"/>
      <c r="L8" s="113"/>
      <c r="M8" s="113"/>
      <c r="N8" s="113"/>
      <c r="P8" s="81"/>
      <c r="Q8" s="113"/>
      <c r="R8" s="113"/>
      <c r="S8" s="113"/>
    </row>
    <row r="9" spans="1:19" x14ac:dyDescent="0.35">
      <c r="A9" s="81" t="s">
        <v>285</v>
      </c>
      <c r="B9" s="104">
        <v>0.36</v>
      </c>
      <c r="C9" s="174">
        <v>0.08</v>
      </c>
      <c r="D9" s="83">
        <f>B9+(100%-B9)*C9</f>
        <v>0.41120000000000001</v>
      </c>
      <c r="F9" s="81" t="s">
        <v>285</v>
      </c>
      <c r="G9" s="104">
        <v>0.49</v>
      </c>
      <c r="H9" s="104">
        <v>0.03</v>
      </c>
      <c r="I9" s="120">
        <f>SUM(G9:H9)</f>
        <v>0.52</v>
      </c>
      <c r="K9" s="81" t="s">
        <v>291</v>
      </c>
      <c r="L9" s="104">
        <v>0.47</v>
      </c>
      <c r="M9" s="104">
        <v>0.03</v>
      </c>
      <c r="N9" s="104">
        <f>SUM(L9:M9)</f>
        <v>0.5</v>
      </c>
      <c r="P9" s="81" t="s">
        <v>285</v>
      </c>
      <c r="Q9" s="104">
        <v>0.33</v>
      </c>
      <c r="R9" s="104" t="s">
        <v>168</v>
      </c>
      <c r="S9" s="83"/>
    </row>
    <row r="10" spans="1:19" ht="15" thickBot="1" x14ac:dyDescent="0.4">
      <c r="G10" s="3"/>
      <c r="H10" s="3"/>
      <c r="I10" s="3"/>
    </row>
    <row r="11" spans="1:19" ht="16" thickBot="1" x14ac:dyDescent="0.4">
      <c r="A11" s="121" t="s">
        <v>98</v>
      </c>
      <c r="B11" s="122"/>
      <c r="C11" s="122"/>
      <c r="D11" s="175">
        <v>0.36</v>
      </c>
      <c r="E11" s="123"/>
      <c r="F11" s="124" t="s">
        <v>99</v>
      </c>
      <c r="G11" s="125"/>
      <c r="H11" s="125"/>
      <c r="I11" s="126">
        <v>0.49</v>
      </c>
      <c r="J11" s="123"/>
      <c r="K11" s="127" t="s">
        <v>100</v>
      </c>
      <c r="L11" s="127"/>
      <c r="M11" s="127"/>
      <c r="N11" s="128">
        <v>0.47</v>
      </c>
      <c r="O11" s="123"/>
      <c r="P11" s="129" t="s">
        <v>101</v>
      </c>
      <c r="Q11" s="129"/>
      <c r="R11" s="129"/>
      <c r="S11" s="130">
        <v>0.33</v>
      </c>
    </row>
    <row r="12" spans="1:19" x14ac:dyDescent="0.35">
      <c r="N12" s="3"/>
    </row>
    <row r="13" spans="1:19" x14ac:dyDescent="0.35">
      <c r="C13" s="174" t="s">
        <v>169</v>
      </c>
    </row>
    <row r="15" spans="1:19" ht="15" thickBot="1" x14ac:dyDescent="0.4"/>
    <row r="16" spans="1:19" ht="24" thickBot="1" x14ac:dyDescent="0.6">
      <c r="A16" s="131" t="s">
        <v>267</v>
      </c>
      <c r="B16" s="132"/>
      <c r="C16" s="132"/>
      <c r="D16" s="20"/>
      <c r="F16" s="78" t="s">
        <v>45</v>
      </c>
      <c r="G16" s="132"/>
      <c r="H16" s="132"/>
      <c r="I16" s="20"/>
      <c r="K16" s="133" t="s">
        <v>96</v>
      </c>
      <c r="L16" s="134"/>
      <c r="M16" s="134"/>
      <c r="N16" s="135"/>
      <c r="P16" s="271"/>
      <c r="Q16" s="271"/>
      <c r="R16" s="271"/>
      <c r="S16" s="271"/>
    </row>
    <row r="18" spans="1:19" x14ac:dyDescent="0.35">
      <c r="A18" s="81" t="s">
        <v>18</v>
      </c>
      <c r="B18" s="113" t="s">
        <v>93</v>
      </c>
      <c r="C18" s="113" t="s">
        <v>94</v>
      </c>
      <c r="D18" s="113" t="s">
        <v>95</v>
      </c>
      <c r="F18" s="81" t="s">
        <v>18</v>
      </c>
      <c r="G18" s="113" t="s">
        <v>93</v>
      </c>
      <c r="H18" s="113" t="s">
        <v>94</v>
      </c>
      <c r="I18" s="113" t="s">
        <v>95</v>
      </c>
      <c r="K18" s="81" t="s">
        <v>18</v>
      </c>
      <c r="L18" s="113" t="s">
        <v>93</v>
      </c>
      <c r="M18" s="113" t="s">
        <v>94</v>
      </c>
      <c r="N18" s="113" t="s">
        <v>95</v>
      </c>
      <c r="Q18" s="3"/>
      <c r="R18" s="3"/>
      <c r="S18" s="3"/>
    </row>
    <row r="19" spans="1:19" x14ac:dyDescent="0.35">
      <c r="B19" s="82"/>
      <c r="C19" s="82"/>
      <c r="D19" s="104"/>
      <c r="F19" s="81"/>
      <c r="G19" s="82"/>
      <c r="H19" s="82"/>
      <c r="I19" s="104"/>
      <c r="K19" s="81"/>
      <c r="L19" s="113"/>
      <c r="M19" s="113"/>
      <c r="N19" s="113"/>
      <c r="Q19" s="3"/>
      <c r="R19" s="3"/>
      <c r="S19" s="3"/>
    </row>
    <row r="20" spans="1:19" x14ac:dyDescent="0.35">
      <c r="A20" s="81" t="s">
        <v>285</v>
      </c>
      <c r="B20" s="104">
        <v>0.4</v>
      </c>
      <c r="C20" s="104">
        <v>0.08</v>
      </c>
      <c r="D20" s="83">
        <v>0.48</v>
      </c>
      <c r="F20" s="81" t="s">
        <v>285</v>
      </c>
      <c r="G20" s="104">
        <v>0.42</v>
      </c>
      <c r="H20" s="247">
        <v>0.02</v>
      </c>
      <c r="I20" s="83">
        <f>SUM(G20:H20)</f>
        <v>0.44</v>
      </c>
      <c r="K20" s="81" t="s">
        <v>285</v>
      </c>
      <c r="L20" s="104">
        <v>0.51</v>
      </c>
      <c r="M20" s="104" t="s">
        <v>168</v>
      </c>
      <c r="N20" s="120"/>
      <c r="Q20" s="98"/>
      <c r="R20" s="98"/>
      <c r="S20" s="253"/>
    </row>
    <row r="21" spans="1:19" ht="15" thickBot="1" x14ac:dyDescent="0.4">
      <c r="F21" s="81"/>
      <c r="G21" s="81"/>
      <c r="H21" s="81"/>
      <c r="I21" s="266"/>
    </row>
    <row r="22" spans="1:19" ht="16" thickBot="1" x14ac:dyDescent="0.4">
      <c r="A22" s="136" t="s">
        <v>102</v>
      </c>
      <c r="B22" s="137"/>
      <c r="C22" s="137"/>
      <c r="D22" s="254">
        <v>0.4</v>
      </c>
      <c r="F22" s="81" t="s">
        <v>286</v>
      </c>
      <c r="G22" s="81" t="s">
        <v>287</v>
      </c>
      <c r="H22" s="81"/>
      <c r="I22" s="267">
        <v>250</v>
      </c>
      <c r="K22" s="138" t="s">
        <v>104</v>
      </c>
      <c r="L22" s="139"/>
      <c r="M22" s="139"/>
      <c r="N22" s="141">
        <v>0.51</v>
      </c>
      <c r="P22" s="142"/>
      <c r="Q22" s="142"/>
      <c r="R22" s="142"/>
      <c r="S22" s="272"/>
    </row>
    <row r="23" spans="1:19" x14ac:dyDescent="0.35">
      <c r="F23" s="81" t="s">
        <v>286</v>
      </c>
      <c r="G23" s="81" t="s">
        <v>288</v>
      </c>
      <c r="H23" s="81"/>
      <c r="I23" s="267">
        <v>150</v>
      </c>
    </row>
    <row r="24" spans="1:19" ht="15.5" x14ac:dyDescent="0.35">
      <c r="F24" s="81"/>
      <c r="G24" s="81"/>
      <c r="H24" s="81"/>
      <c r="I24" s="268"/>
      <c r="P24" s="142"/>
      <c r="Q24" s="143"/>
      <c r="R24" s="143"/>
      <c r="S24" s="144"/>
    </row>
    <row r="25" spans="1:19" ht="15.5" x14ac:dyDescent="0.35">
      <c r="F25" s="81" t="s">
        <v>289</v>
      </c>
      <c r="G25" s="81" t="s">
        <v>287</v>
      </c>
      <c r="H25" s="81"/>
      <c r="I25" s="267">
        <v>400</v>
      </c>
      <c r="P25" s="142"/>
      <c r="Q25" s="143"/>
      <c r="R25" s="143"/>
      <c r="S25" s="144"/>
    </row>
    <row r="26" spans="1:19" ht="15.5" x14ac:dyDescent="0.35">
      <c r="F26" s="81" t="s">
        <v>289</v>
      </c>
      <c r="G26" s="81" t="s">
        <v>288</v>
      </c>
      <c r="H26" s="81"/>
      <c r="I26" s="267">
        <v>250</v>
      </c>
      <c r="P26" s="142"/>
      <c r="Q26" s="143"/>
      <c r="R26" s="143"/>
      <c r="S26" s="144"/>
    </row>
    <row r="27" spans="1:19" ht="16" thickBot="1" x14ac:dyDescent="0.4">
      <c r="P27" s="142"/>
      <c r="Q27" s="143"/>
      <c r="R27" s="143"/>
      <c r="S27" s="144"/>
    </row>
    <row r="28" spans="1:19" ht="16" thickBot="1" x14ac:dyDescent="0.4">
      <c r="F28" s="138" t="s">
        <v>103</v>
      </c>
      <c r="G28" s="139"/>
      <c r="H28" s="139"/>
      <c r="I28" s="140">
        <v>0.42</v>
      </c>
      <c r="P28" s="142"/>
      <c r="Q28" s="143"/>
      <c r="R28" s="143" t="s">
        <v>169</v>
      </c>
      <c r="S28" s="144"/>
    </row>
    <row r="29" spans="1:19" ht="15.5" x14ac:dyDescent="0.35">
      <c r="P29" s="142"/>
      <c r="Q29" s="143"/>
      <c r="R29" s="143"/>
      <c r="S29" s="144"/>
    </row>
    <row r="30" spans="1:19" ht="15.5" x14ac:dyDescent="0.35">
      <c r="P30" s="142"/>
      <c r="Q30" s="143"/>
      <c r="R30" s="143"/>
      <c r="S30" s="144"/>
    </row>
    <row r="31" spans="1:19" x14ac:dyDescent="0.35">
      <c r="S31" s="145"/>
    </row>
    <row r="32" spans="1:19" x14ac:dyDescent="0.35">
      <c r="S32" s="145"/>
    </row>
    <row r="33" spans="1:19" x14ac:dyDescent="0.35">
      <c r="S33" s="145"/>
    </row>
    <row r="34" spans="1:19" x14ac:dyDescent="0.35">
      <c r="S34" s="145"/>
    </row>
    <row r="35" spans="1:19" x14ac:dyDescent="0.35">
      <c r="S35" s="145"/>
    </row>
    <row r="36" spans="1:19" x14ac:dyDescent="0.35">
      <c r="S36" s="145"/>
    </row>
    <row r="37" spans="1:19" x14ac:dyDescent="0.35">
      <c r="S37" s="145"/>
    </row>
    <row r="38" spans="1:19" x14ac:dyDescent="0.35">
      <c r="S38" s="145"/>
    </row>
    <row r="39" spans="1:19" x14ac:dyDescent="0.35">
      <c r="S39" s="145"/>
    </row>
    <row r="40" spans="1:19" x14ac:dyDescent="0.35">
      <c r="S40" s="145"/>
    </row>
    <row r="41" spans="1:19" ht="33.5" x14ac:dyDescent="0.75">
      <c r="A41" s="5" t="s">
        <v>268</v>
      </c>
      <c r="N41" s="98"/>
    </row>
    <row r="42" spans="1:19" ht="15" thickBot="1" x14ac:dyDescent="0.4"/>
    <row r="43" spans="1:19" ht="24" thickBot="1" x14ac:dyDescent="0.6">
      <c r="A43" s="18" t="s">
        <v>156</v>
      </c>
      <c r="B43" s="117"/>
      <c r="C43" s="117"/>
      <c r="D43" s="19"/>
      <c r="F43" s="133" t="s">
        <v>158</v>
      </c>
      <c r="G43" s="134"/>
      <c r="H43" s="134"/>
      <c r="I43" s="135"/>
      <c r="K43" s="168" t="s">
        <v>173</v>
      </c>
      <c r="L43" s="169"/>
      <c r="M43" s="169"/>
      <c r="N43" s="170"/>
      <c r="P43" s="260" t="s">
        <v>251</v>
      </c>
      <c r="Q43" s="261"/>
      <c r="R43" s="261"/>
      <c r="S43" s="262"/>
    </row>
    <row r="45" spans="1:19" x14ac:dyDescent="0.35">
      <c r="A45" s="81" t="s">
        <v>18</v>
      </c>
      <c r="B45" s="113" t="s">
        <v>93</v>
      </c>
      <c r="C45" s="113" t="s">
        <v>94</v>
      </c>
      <c r="D45" s="113" t="s">
        <v>95</v>
      </c>
      <c r="F45" s="81" t="s">
        <v>18</v>
      </c>
      <c r="G45" s="113" t="s">
        <v>93</v>
      </c>
      <c r="H45" s="113" t="s">
        <v>94</v>
      </c>
      <c r="I45" s="113" t="s">
        <v>95</v>
      </c>
      <c r="K45" s="81" t="s">
        <v>18</v>
      </c>
      <c r="L45" s="113" t="s">
        <v>93</v>
      </c>
      <c r="M45" s="113" t="s">
        <v>94</v>
      </c>
      <c r="N45" s="113" t="s">
        <v>95</v>
      </c>
      <c r="P45" s="81" t="s">
        <v>18</v>
      </c>
      <c r="Q45" s="113" t="s">
        <v>93</v>
      </c>
      <c r="R45" s="113" t="s">
        <v>94</v>
      </c>
      <c r="S45" s="113" t="s">
        <v>95</v>
      </c>
    </row>
    <row r="46" spans="1:19" x14ac:dyDescent="0.35">
      <c r="A46" s="81"/>
      <c r="B46" s="113"/>
      <c r="C46" s="113"/>
      <c r="D46" s="113"/>
      <c r="F46" s="81"/>
      <c r="G46" s="113"/>
      <c r="H46" s="113"/>
      <c r="I46" s="113"/>
      <c r="K46" s="81"/>
      <c r="L46" s="113"/>
      <c r="M46" s="113"/>
      <c r="N46" s="113"/>
      <c r="P46" s="81"/>
      <c r="Q46" s="113"/>
      <c r="R46" s="113"/>
      <c r="S46" s="113"/>
    </row>
    <row r="47" spans="1:19" x14ac:dyDescent="0.35">
      <c r="A47" s="81" t="s">
        <v>97</v>
      </c>
      <c r="B47" s="82">
        <v>0.35</v>
      </c>
      <c r="C47" s="82" t="s">
        <v>84</v>
      </c>
      <c r="D47" s="120">
        <f>SUM(B47:C47)</f>
        <v>0.35</v>
      </c>
      <c r="F47" s="81" t="s">
        <v>280</v>
      </c>
      <c r="G47" s="104">
        <v>0.42</v>
      </c>
      <c r="H47" s="104">
        <v>0.03</v>
      </c>
      <c r="I47" s="120">
        <f>SUM(G47:H47)</f>
        <v>0.44999999999999996</v>
      </c>
      <c r="K47" s="81" t="s">
        <v>283</v>
      </c>
      <c r="L47" s="104">
        <v>0.42</v>
      </c>
      <c r="M47" s="247">
        <v>0.02</v>
      </c>
      <c r="N47" s="83">
        <f>SUM(L47:M47)</f>
        <v>0.44</v>
      </c>
      <c r="P47" s="81" t="s">
        <v>283</v>
      </c>
      <c r="Q47" s="104">
        <v>0.49</v>
      </c>
      <c r="R47" s="104">
        <v>0.03</v>
      </c>
      <c r="S47" s="83">
        <f>SUM(Q47:R47)</f>
        <v>0.52</v>
      </c>
    </row>
    <row r="48" spans="1:19" x14ac:dyDescent="0.35">
      <c r="A48" s="81" t="s">
        <v>277</v>
      </c>
      <c r="B48" s="82">
        <v>0.35</v>
      </c>
      <c r="C48" s="83">
        <v>0.05</v>
      </c>
      <c r="D48" s="120">
        <f t="shared" ref="D48:D52" si="0">SUM(B48:C48)</f>
        <v>0.39999999999999997</v>
      </c>
      <c r="F48" s="81" t="s">
        <v>281</v>
      </c>
      <c r="G48" s="104">
        <v>0.42</v>
      </c>
      <c r="H48" s="104">
        <v>0.05</v>
      </c>
      <c r="I48" s="120">
        <f t="shared" ref="I48:I49" si="1">SUM(G48:H48)</f>
        <v>0.47</v>
      </c>
      <c r="K48" s="81"/>
      <c r="L48" s="104"/>
      <c r="M48" s="104"/>
      <c r="N48" s="120"/>
      <c r="P48" s="81"/>
      <c r="Q48" s="104"/>
      <c r="R48" s="104"/>
      <c r="S48" s="120"/>
    </row>
    <row r="49" spans="1:19" x14ac:dyDescent="0.35">
      <c r="A49" s="81" t="s">
        <v>276</v>
      </c>
      <c r="B49" s="82">
        <v>0.35</v>
      </c>
      <c r="C49" s="83">
        <v>7.0000000000000007E-2</v>
      </c>
      <c r="D49" s="120">
        <f t="shared" si="0"/>
        <v>0.42</v>
      </c>
      <c r="F49" s="81" t="s">
        <v>278</v>
      </c>
      <c r="G49" s="104">
        <v>0.42</v>
      </c>
      <c r="H49" s="104">
        <v>0.08</v>
      </c>
      <c r="I49" s="120">
        <f t="shared" si="1"/>
        <v>0.5</v>
      </c>
      <c r="K49" s="81"/>
      <c r="L49" s="104"/>
      <c r="M49" s="104"/>
      <c r="N49" s="120"/>
      <c r="P49" s="81"/>
      <c r="Q49" s="104"/>
      <c r="R49" s="104"/>
      <c r="S49" s="120"/>
    </row>
    <row r="50" spans="1:19" x14ac:dyDescent="0.35">
      <c r="A50" s="81" t="s">
        <v>278</v>
      </c>
      <c r="B50" s="82">
        <v>0.35</v>
      </c>
      <c r="C50" s="83">
        <v>0.09</v>
      </c>
      <c r="D50" s="120">
        <f t="shared" si="0"/>
        <v>0.43999999999999995</v>
      </c>
      <c r="F50" s="81"/>
      <c r="G50" s="104"/>
      <c r="H50" s="104"/>
      <c r="I50" s="120"/>
      <c r="K50" s="81"/>
      <c r="L50" s="104"/>
      <c r="M50" s="104"/>
      <c r="N50" s="120"/>
    </row>
    <row r="51" spans="1:19" x14ac:dyDescent="0.35">
      <c r="A51" s="81" t="s">
        <v>170</v>
      </c>
      <c r="B51" s="82">
        <v>0.35</v>
      </c>
      <c r="C51" s="83">
        <v>0.11</v>
      </c>
      <c r="D51" s="120">
        <f t="shared" si="0"/>
        <v>0.45999999999999996</v>
      </c>
      <c r="F51" s="81"/>
      <c r="G51" s="104"/>
      <c r="H51" s="104"/>
      <c r="I51" s="120"/>
      <c r="K51" s="81"/>
      <c r="L51" s="104"/>
      <c r="M51" s="104"/>
      <c r="N51" s="120"/>
    </row>
    <row r="52" spans="1:19" x14ac:dyDescent="0.35">
      <c r="A52" s="81" t="s">
        <v>171</v>
      </c>
      <c r="B52" s="82">
        <v>0.35</v>
      </c>
      <c r="C52" s="83">
        <v>0.12</v>
      </c>
      <c r="D52" s="120">
        <f t="shared" si="0"/>
        <v>0.47</v>
      </c>
      <c r="F52" s="81"/>
      <c r="G52" s="104"/>
      <c r="H52" s="104"/>
      <c r="I52" s="120"/>
      <c r="K52" s="81"/>
      <c r="L52" s="104"/>
      <c r="M52" s="104"/>
      <c r="N52" s="120"/>
    </row>
    <row r="53" spans="1:19" x14ac:dyDescent="0.35">
      <c r="B53" s="51"/>
      <c r="C53" s="253"/>
      <c r="D53" s="253"/>
      <c r="F53" s="81"/>
      <c r="G53" s="104"/>
      <c r="H53" s="104"/>
      <c r="I53" s="120"/>
      <c r="K53" s="81"/>
      <c r="L53" s="104"/>
      <c r="M53" s="104"/>
      <c r="N53" s="120"/>
    </row>
    <row r="54" spans="1:19" x14ac:dyDescent="0.35">
      <c r="B54" s="51"/>
      <c r="C54" s="253"/>
      <c r="D54" s="253"/>
      <c r="G54" s="98"/>
      <c r="H54" s="98"/>
      <c r="I54" s="176"/>
      <c r="L54" s="98"/>
      <c r="M54" s="98"/>
      <c r="N54" s="176"/>
    </row>
    <row r="55" spans="1:19" x14ac:dyDescent="0.35">
      <c r="B55" s="51"/>
      <c r="C55" s="253"/>
      <c r="D55" s="253"/>
      <c r="G55" s="98"/>
      <c r="H55" s="98"/>
      <c r="I55" s="176"/>
      <c r="L55" s="98"/>
      <c r="N55" s="176"/>
    </row>
    <row r="56" spans="1:19" x14ac:dyDescent="0.35">
      <c r="B56" s="51"/>
      <c r="C56" s="253"/>
      <c r="D56" s="253"/>
      <c r="G56" s="98"/>
      <c r="H56" s="98"/>
      <c r="I56" s="176"/>
      <c r="K56" s="66"/>
      <c r="L56" s="99"/>
      <c r="M56" s="99"/>
      <c r="N56" s="176"/>
    </row>
    <row r="57" spans="1:19" ht="15" thickBot="1" x14ac:dyDescent="0.4">
      <c r="B57" s="3"/>
      <c r="C57" s="3"/>
      <c r="D57" s="3"/>
      <c r="G57" s="3"/>
      <c r="H57" s="3"/>
      <c r="I57" s="3"/>
      <c r="L57" s="3"/>
      <c r="M57" s="3"/>
      <c r="N57" s="3"/>
    </row>
    <row r="58" spans="1:19" ht="20" customHeight="1" thickBot="1" x14ac:dyDescent="0.6">
      <c r="A58" s="124" t="s">
        <v>157</v>
      </c>
      <c r="B58" s="125"/>
      <c r="C58" s="177" t="s">
        <v>279</v>
      </c>
      <c r="D58" s="126"/>
      <c r="F58" s="166" t="s">
        <v>159</v>
      </c>
      <c r="G58" s="178" t="s">
        <v>172</v>
      </c>
      <c r="H58" s="178"/>
      <c r="I58" s="167"/>
      <c r="K58" s="171" t="s">
        <v>222</v>
      </c>
      <c r="L58" s="172"/>
      <c r="M58" s="179">
        <v>0.42</v>
      </c>
      <c r="N58" s="173"/>
      <c r="P58" s="263" t="s">
        <v>284</v>
      </c>
      <c r="Q58" s="264"/>
      <c r="R58" s="265">
        <v>0.49</v>
      </c>
      <c r="S58" s="262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47"/>
  <sheetViews>
    <sheetView zoomScale="80" zoomScaleNormal="80"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D14" sqref="D14"/>
    </sheetView>
  </sheetViews>
  <sheetFormatPr baseColWidth="10" defaultColWidth="11.453125" defaultRowHeight="14.5" x14ac:dyDescent="0.35"/>
  <cols>
    <col min="1" max="1" width="2.54296875" customWidth="1"/>
    <col min="2" max="2" width="25.453125" customWidth="1"/>
    <col min="3" max="3" width="26.453125" customWidth="1"/>
    <col min="4" max="4" width="30.7265625" customWidth="1"/>
    <col min="5" max="5" width="14.7265625" customWidth="1"/>
    <col min="6" max="6" width="13.1796875" customWidth="1"/>
    <col min="7" max="7" width="20.453125" customWidth="1"/>
    <col min="8" max="9" width="15.54296875" style="3" customWidth="1"/>
    <col min="10" max="10" width="25.26953125" customWidth="1"/>
    <col min="11" max="11" width="22.453125" style="3" customWidth="1"/>
    <col min="12" max="12" width="18.54296875" style="3" customWidth="1"/>
    <col min="13" max="13" width="11.54296875" customWidth="1"/>
    <col min="14" max="14" width="14.54296875" style="3" customWidth="1"/>
    <col min="15" max="15" width="23.54296875" style="3" customWidth="1"/>
    <col min="16" max="17" width="11.81640625" style="3" customWidth="1"/>
    <col min="18" max="18" width="13.54296875" customWidth="1"/>
    <col min="19" max="19" width="20.54296875" customWidth="1"/>
    <col min="20" max="21" width="12.26953125" customWidth="1"/>
    <col min="22" max="22" width="15" customWidth="1"/>
    <col min="23" max="23" width="25.54296875" customWidth="1"/>
    <col min="24" max="24" width="16.1796875" style="3" customWidth="1"/>
  </cols>
  <sheetData>
    <row r="1" spans="2:34" x14ac:dyDescent="0.35">
      <c r="D1" t="s">
        <v>55</v>
      </c>
      <c r="E1" s="49" t="s">
        <v>168</v>
      </c>
      <c r="H1" s="3" t="s">
        <v>55</v>
      </c>
      <c r="I1" s="51">
        <v>0.52</v>
      </c>
      <c r="L1" s="3" t="s">
        <v>55</v>
      </c>
      <c r="M1" s="248">
        <v>0.41120000000000001</v>
      </c>
      <c r="P1" s="3" t="s">
        <v>55</v>
      </c>
      <c r="Q1" s="51">
        <v>0.5</v>
      </c>
      <c r="T1" t="s">
        <v>55</v>
      </c>
      <c r="U1" s="49">
        <v>0.48</v>
      </c>
      <c r="X1" s="3" t="s">
        <v>62</v>
      </c>
      <c r="Y1" s="49">
        <v>0.44</v>
      </c>
      <c r="AB1" t="s">
        <v>55</v>
      </c>
      <c r="AC1" s="49" t="s">
        <v>168</v>
      </c>
      <c r="AE1" s="3"/>
      <c r="AF1" s="3" t="s">
        <v>55</v>
      </c>
      <c r="AG1" s="51">
        <v>0.48</v>
      </c>
    </row>
    <row r="2" spans="2:34" x14ac:dyDescent="0.35">
      <c r="M2" s="54"/>
      <c r="P2" s="51"/>
      <c r="Q2" s="51"/>
      <c r="T2" s="49"/>
      <c r="U2" s="49"/>
      <c r="W2" s="270" t="s">
        <v>290</v>
      </c>
      <c r="Y2" s="269"/>
      <c r="AE2" s="3"/>
      <c r="AF2" s="51"/>
      <c r="AG2" s="51"/>
    </row>
    <row r="3" spans="2:34" ht="29" thickBot="1" x14ac:dyDescent="0.7">
      <c r="C3" s="90" t="s">
        <v>43</v>
      </c>
      <c r="D3" s="90"/>
      <c r="E3" s="90"/>
      <c r="F3" s="90"/>
      <c r="G3" s="93" t="s">
        <v>39</v>
      </c>
      <c r="H3" s="92"/>
      <c r="I3" s="92"/>
      <c r="J3" s="91"/>
      <c r="K3" s="94" t="s">
        <v>40</v>
      </c>
      <c r="L3" s="87"/>
      <c r="M3" s="85"/>
      <c r="N3" s="87"/>
      <c r="O3" s="95" t="s">
        <v>41</v>
      </c>
      <c r="P3" s="89"/>
      <c r="Q3" s="89"/>
      <c r="R3" s="88"/>
      <c r="S3" s="96" t="s">
        <v>42</v>
      </c>
      <c r="T3" s="86"/>
      <c r="U3" s="86"/>
      <c r="V3" s="86"/>
      <c r="W3" s="101" t="s">
        <v>44</v>
      </c>
      <c r="X3" s="102"/>
      <c r="Y3" s="103"/>
      <c r="Z3" s="102"/>
      <c r="AA3" s="96" t="s">
        <v>57</v>
      </c>
      <c r="AB3" s="86"/>
      <c r="AC3" s="86"/>
      <c r="AD3" s="86"/>
      <c r="AE3" s="95" t="s">
        <v>63</v>
      </c>
      <c r="AF3" s="89"/>
      <c r="AG3" s="89"/>
      <c r="AH3" s="88"/>
    </row>
    <row r="4" spans="2:34" x14ac:dyDescent="0.35">
      <c r="B4" s="7" t="s">
        <v>9</v>
      </c>
      <c r="C4" s="97" t="s">
        <v>17</v>
      </c>
      <c r="D4" s="52" t="s">
        <v>14</v>
      </c>
      <c r="E4" s="52" t="s">
        <v>54</v>
      </c>
      <c r="F4" s="9" t="s">
        <v>16</v>
      </c>
      <c r="G4" s="12" t="s">
        <v>17</v>
      </c>
      <c r="H4" s="52" t="s">
        <v>14</v>
      </c>
      <c r="I4" s="52" t="s">
        <v>54</v>
      </c>
      <c r="J4" s="9" t="s">
        <v>16</v>
      </c>
      <c r="K4" s="12" t="s">
        <v>17</v>
      </c>
      <c r="L4" s="46" t="s">
        <v>14</v>
      </c>
      <c r="M4" s="52" t="s">
        <v>54</v>
      </c>
      <c r="N4" s="9" t="s">
        <v>16</v>
      </c>
      <c r="O4" s="12" t="s">
        <v>17</v>
      </c>
      <c r="P4" s="52" t="s">
        <v>14</v>
      </c>
      <c r="Q4" s="52" t="s">
        <v>54</v>
      </c>
      <c r="R4" s="9" t="s">
        <v>16</v>
      </c>
      <c r="S4" s="12" t="s">
        <v>17</v>
      </c>
      <c r="T4" s="52" t="s">
        <v>14</v>
      </c>
      <c r="U4" s="52" t="s">
        <v>54</v>
      </c>
      <c r="V4" s="9" t="s">
        <v>16</v>
      </c>
      <c r="W4" s="12" t="s">
        <v>17</v>
      </c>
      <c r="X4" s="52" t="s">
        <v>14</v>
      </c>
      <c r="Y4" s="52" t="s">
        <v>54</v>
      </c>
      <c r="Z4" s="9" t="s">
        <v>16</v>
      </c>
      <c r="AA4" s="12" t="s">
        <v>17</v>
      </c>
      <c r="AB4" s="52" t="s">
        <v>14</v>
      </c>
      <c r="AC4" s="52" t="s">
        <v>54</v>
      </c>
      <c r="AD4" s="9" t="s">
        <v>16</v>
      </c>
      <c r="AE4" s="12" t="s">
        <v>17</v>
      </c>
      <c r="AF4" s="52" t="s">
        <v>14</v>
      </c>
      <c r="AG4" s="52" t="s">
        <v>54</v>
      </c>
      <c r="AH4" s="9" t="s">
        <v>16</v>
      </c>
    </row>
    <row r="5" spans="2:34" x14ac:dyDescent="0.35">
      <c r="B5" s="8"/>
      <c r="C5" s="10"/>
      <c r="D5" s="53"/>
      <c r="E5" s="108"/>
      <c r="F5" s="11"/>
      <c r="G5" s="13"/>
      <c r="H5" s="53"/>
      <c r="I5" s="108"/>
      <c r="J5" s="14"/>
      <c r="K5" s="13"/>
      <c r="L5" s="47"/>
      <c r="M5" s="53"/>
      <c r="N5" s="14"/>
      <c r="O5" s="13"/>
      <c r="P5" s="53"/>
      <c r="Q5" s="108"/>
      <c r="R5" s="14"/>
      <c r="S5" s="13"/>
      <c r="T5" s="53"/>
      <c r="U5" s="108"/>
      <c r="V5" s="11"/>
      <c r="W5" s="13"/>
      <c r="X5" s="13"/>
      <c r="Y5" s="53"/>
      <c r="Z5" s="14"/>
      <c r="AA5" s="13"/>
      <c r="AB5" s="13"/>
      <c r="AC5" s="53"/>
      <c r="AD5" s="14"/>
      <c r="AE5" s="13"/>
      <c r="AF5" s="13"/>
      <c r="AG5" s="53"/>
      <c r="AH5" s="14"/>
    </row>
    <row r="6" spans="2:34" x14ac:dyDescent="0.35">
      <c r="B6" s="7" t="s">
        <v>10</v>
      </c>
      <c r="C6" s="10"/>
      <c r="D6" s="68"/>
      <c r="E6" s="109"/>
      <c r="F6" s="11"/>
      <c r="G6" s="13"/>
      <c r="H6" s="53"/>
      <c r="I6" s="108"/>
      <c r="J6" s="14"/>
      <c r="K6" s="13"/>
      <c r="L6" s="47"/>
      <c r="M6" s="53"/>
      <c r="N6" s="14"/>
      <c r="O6" s="13"/>
      <c r="P6" s="64"/>
      <c r="Q6" s="111"/>
      <c r="R6" s="14"/>
      <c r="S6" s="13"/>
      <c r="T6" s="8"/>
      <c r="U6" s="112"/>
      <c r="V6" s="11"/>
      <c r="W6" s="13"/>
      <c r="X6" s="53"/>
      <c r="Y6" s="64"/>
      <c r="Z6" s="14"/>
      <c r="AA6" s="13"/>
      <c r="AB6" s="53"/>
      <c r="AC6" s="64"/>
      <c r="AD6" s="14"/>
      <c r="AE6" s="13"/>
      <c r="AF6" s="53"/>
      <c r="AG6" s="64"/>
      <c r="AH6" s="14"/>
    </row>
    <row r="7" spans="2:34" x14ac:dyDescent="0.35">
      <c r="B7" s="8" t="s">
        <v>3</v>
      </c>
      <c r="C7" s="81" t="s">
        <v>160</v>
      </c>
      <c r="D7" s="100" t="s">
        <v>84</v>
      </c>
      <c r="E7" s="67">
        <v>5050</v>
      </c>
      <c r="F7" s="245">
        <f>E7*100/I7</f>
        <v>94.137735623956104</v>
      </c>
      <c r="G7" s="13" t="s">
        <v>46</v>
      </c>
      <c r="H7" s="113">
        <v>11176</v>
      </c>
      <c r="I7" s="67">
        <f>H7-(H7*I$1)</f>
        <v>5364.48</v>
      </c>
      <c r="J7" s="11">
        <v>100</v>
      </c>
      <c r="K7" s="13" t="s">
        <v>67</v>
      </c>
      <c r="L7" s="113">
        <v>11140</v>
      </c>
      <c r="M7" s="84">
        <f>L7*0.577</f>
        <v>6427.78</v>
      </c>
      <c r="N7" s="50">
        <f>M7*100/$I7</f>
        <v>119.82111966117873</v>
      </c>
      <c r="O7" s="114" t="s">
        <v>34</v>
      </c>
      <c r="P7" s="113">
        <v>10925</v>
      </c>
      <c r="Q7" s="67">
        <f>P7-(P7*Q$1)</f>
        <v>5462.5</v>
      </c>
      <c r="R7" s="50">
        <f t="shared" ref="R7:R22" si="0">Q7*100/$I7</f>
        <v>101.82720412789311</v>
      </c>
      <c r="S7" s="13" t="s">
        <v>35</v>
      </c>
      <c r="T7" s="113">
        <v>8330</v>
      </c>
      <c r="U7" s="67">
        <f>T7-(T7*U$1)</f>
        <v>4331.6000000000004</v>
      </c>
      <c r="V7" s="50">
        <f t="shared" ref="V7:V22" si="1">U7*100/$I7</f>
        <v>80.745943688857096</v>
      </c>
      <c r="W7" s="114" t="s">
        <v>74</v>
      </c>
      <c r="X7" s="113">
        <v>14836</v>
      </c>
      <c r="Y7" s="67">
        <f>X7-(X7*Y$1)-250</f>
        <v>8058.16</v>
      </c>
      <c r="Z7" s="50">
        <f t="shared" ref="Z7:Z22" si="2">Y7*100/$I7</f>
        <v>150.21325459317586</v>
      </c>
      <c r="AA7" s="114" t="s">
        <v>78</v>
      </c>
      <c r="AB7" s="113" t="s">
        <v>84</v>
      </c>
      <c r="AC7" s="67"/>
      <c r="AD7" s="50"/>
      <c r="AE7" s="81" t="s">
        <v>85</v>
      </c>
      <c r="AF7" s="113">
        <v>8577</v>
      </c>
      <c r="AG7" s="67">
        <f>AF7-(AF7*AG$1)</f>
        <v>4460.04</v>
      </c>
      <c r="AH7" s="50">
        <f t="shared" ref="AH7:AH22" si="3">AG7*100/$I7</f>
        <v>83.140211166785974</v>
      </c>
    </row>
    <row r="8" spans="2:34" x14ac:dyDescent="0.35">
      <c r="B8" s="8" t="s">
        <v>4</v>
      </c>
      <c r="C8" s="81" t="s">
        <v>160</v>
      </c>
      <c r="D8" s="100" t="s">
        <v>84</v>
      </c>
      <c r="E8" s="67">
        <v>4950</v>
      </c>
      <c r="F8" s="245">
        <f t="shared" ref="F8:F22" si="4">E8*100/I8</f>
        <v>97.453222453222466</v>
      </c>
      <c r="G8" s="10" t="s">
        <v>46</v>
      </c>
      <c r="H8" s="113">
        <v>10582</v>
      </c>
      <c r="I8" s="67">
        <f t="shared" ref="I8:I22" si="5">H8-(H8*I$1)</f>
        <v>5079.3599999999997</v>
      </c>
      <c r="J8" s="11">
        <v>100</v>
      </c>
      <c r="K8" s="13" t="s">
        <v>67</v>
      </c>
      <c r="L8" s="113">
        <v>10941</v>
      </c>
      <c r="M8" s="84">
        <f>L8-(L8*M$1)</f>
        <v>6442.0608000000002</v>
      </c>
      <c r="N8" s="50">
        <f t="shared" ref="N8:N10" si="6">M8*100/$I8</f>
        <v>126.82819882819885</v>
      </c>
      <c r="O8" s="114" t="s">
        <v>34</v>
      </c>
      <c r="P8" s="113">
        <v>10184</v>
      </c>
      <c r="Q8" s="67">
        <f t="shared" ref="Q8:Q22" si="7">P8-(P8*Q$1)</f>
        <v>5092</v>
      </c>
      <c r="R8" s="50">
        <f t="shared" si="0"/>
        <v>100.24885024885026</v>
      </c>
      <c r="S8" s="13" t="s">
        <v>35</v>
      </c>
      <c r="T8" s="113">
        <v>7910</v>
      </c>
      <c r="U8" s="67">
        <f t="shared" ref="U8:U22" si="8">T8-(T8*U$1)</f>
        <v>4113.2000000000007</v>
      </c>
      <c r="V8" s="50">
        <f t="shared" si="1"/>
        <v>80.978705978705989</v>
      </c>
      <c r="W8" s="114" t="s">
        <v>74</v>
      </c>
      <c r="X8" s="113">
        <v>14433</v>
      </c>
      <c r="Y8" s="67">
        <f t="shared" ref="Y8:Y10" si="9">X8-(X8*Y$1)-250</f>
        <v>7832.48</v>
      </c>
      <c r="Z8" s="50">
        <f t="shared" si="2"/>
        <v>154.20210420210421</v>
      </c>
      <c r="AA8" s="114" t="s">
        <v>78</v>
      </c>
      <c r="AB8" s="113" t="s">
        <v>84</v>
      </c>
      <c r="AC8" s="67"/>
      <c r="AD8" s="50"/>
      <c r="AE8" s="81" t="s">
        <v>85</v>
      </c>
      <c r="AF8" s="113">
        <v>8577</v>
      </c>
      <c r="AG8" s="67">
        <f t="shared" ref="AG8:AG22" si="10">AF8-(AF8*AG$1)</f>
        <v>4460.04</v>
      </c>
      <c r="AH8" s="50">
        <f t="shared" si="3"/>
        <v>87.807125307125318</v>
      </c>
    </row>
    <row r="9" spans="2:34" x14ac:dyDescent="0.35">
      <c r="B9" s="8" t="s">
        <v>5</v>
      </c>
      <c r="C9" s="81" t="s">
        <v>160</v>
      </c>
      <c r="D9" s="100" t="s">
        <v>84</v>
      </c>
      <c r="E9" s="67">
        <v>5164</v>
      </c>
      <c r="F9" s="245">
        <f t="shared" si="4"/>
        <v>102.95055821371611</v>
      </c>
      <c r="G9" s="13" t="s">
        <v>46</v>
      </c>
      <c r="H9" s="113">
        <v>10450</v>
      </c>
      <c r="I9" s="67">
        <f t="shared" si="5"/>
        <v>5016</v>
      </c>
      <c r="J9" s="11">
        <v>100</v>
      </c>
      <c r="K9" s="13" t="s">
        <v>67</v>
      </c>
      <c r="L9" s="113">
        <v>10517</v>
      </c>
      <c r="M9" s="84">
        <f t="shared" ref="M9:M22" si="11">L9-(L9*M$1)</f>
        <v>6192.4096</v>
      </c>
      <c r="N9" s="50">
        <f t="shared" si="6"/>
        <v>123.45314194577352</v>
      </c>
      <c r="O9" s="114" t="s">
        <v>34</v>
      </c>
      <c r="P9" s="113">
        <v>9780</v>
      </c>
      <c r="Q9" s="67">
        <f t="shared" si="7"/>
        <v>4890</v>
      </c>
      <c r="R9" s="50">
        <f t="shared" si="0"/>
        <v>97.488038277511961</v>
      </c>
      <c r="S9" s="13" t="s">
        <v>35</v>
      </c>
      <c r="T9" s="113">
        <v>7995</v>
      </c>
      <c r="U9" s="67">
        <f t="shared" si="8"/>
        <v>4157.3999999999996</v>
      </c>
      <c r="V9" s="50">
        <f t="shared" si="1"/>
        <v>82.882775119617207</v>
      </c>
      <c r="W9" s="114" t="s">
        <v>74</v>
      </c>
      <c r="X9" s="113">
        <v>13507</v>
      </c>
      <c r="Y9" s="67">
        <f t="shared" si="9"/>
        <v>7313.92</v>
      </c>
      <c r="Z9" s="50">
        <f t="shared" si="2"/>
        <v>145.81180223285486</v>
      </c>
      <c r="AA9" s="114" t="s">
        <v>78</v>
      </c>
      <c r="AB9" s="113" t="s">
        <v>84</v>
      </c>
      <c r="AC9" s="67"/>
      <c r="AD9" s="50"/>
      <c r="AE9" s="81" t="s">
        <v>85</v>
      </c>
      <c r="AF9" s="113">
        <v>7644</v>
      </c>
      <c r="AG9" s="67">
        <f t="shared" si="10"/>
        <v>3974.88</v>
      </c>
      <c r="AH9" s="50">
        <f t="shared" si="3"/>
        <v>79.244019138755988</v>
      </c>
    </row>
    <row r="10" spans="2:34" x14ac:dyDescent="0.35">
      <c r="B10" s="8" t="s">
        <v>6</v>
      </c>
      <c r="C10" s="81" t="s">
        <v>160</v>
      </c>
      <c r="D10" s="100" t="s">
        <v>84</v>
      </c>
      <c r="E10" s="67">
        <v>4500</v>
      </c>
      <c r="F10" s="245">
        <f t="shared" si="4"/>
        <v>94.696969696969703</v>
      </c>
      <c r="G10" s="13" t="s">
        <v>46</v>
      </c>
      <c r="H10" s="113">
        <v>9900</v>
      </c>
      <c r="I10" s="67">
        <f t="shared" si="5"/>
        <v>4752</v>
      </c>
      <c r="J10" s="11">
        <v>100</v>
      </c>
      <c r="K10" s="13" t="s">
        <v>67</v>
      </c>
      <c r="L10" s="113">
        <v>10077</v>
      </c>
      <c r="M10" s="84">
        <f t="shared" si="11"/>
        <v>5933.3375999999998</v>
      </c>
      <c r="N10" s="50">
        <f t="shared" si="6"/>
        <v>124.85979797979797</v>
      </c>
      <c r="O10" s="114" t="s">
        <v>34</v>
      </c>
      <c r="P10" s="113">
        <v>9180</v>
      </c>
      <c r="Q10" s="67">
        <f t="shared" si="7"/>
        <v>4590</v>
      </c>
      <c r="R10" s="50">
        <f t="shared" si="0"/>
        <v>96.590909090909093</v>
      </c>
      <c r="S10" s="13" t="s">
        <v>35</v>
      </c>
      <c r="T10" s="113">
        <v>7750</v>
      </c>
      <c r="U10" s="67">
        <f t="shared" si="8"/>
        <v>4030</v>
      </c>
      <c r="V10" s="50">
        <f t="shared" si="1"/>
        <v>84.806397306397301</v>
      </c>
      <c r="W10" s="114" t="s">
        <v>74</v>
      </c>
      <c r="X10" s="113">
        <v>13222</v>
      </c>
      <c r="Y10" s="67">
        <f t="shared" si="9"/>
        <v>7154.32</v>
      </c>
      <c r="Z10" s="50">
        <f t="shared" si="2"/>
        <v>150.55387205387206</v>
      </c>
      <c r="AA10" s="114" t="s">
        <v>78</v>
      </c>
      <c r="AB10" s="113" t="s">
        <v>84</v>
      </c>
      <c r="AC10" s="67"/>
      <c r="AD10" s="50"/>
      <c r="AE10" s="81" t="s">
        <v>85</v>
      </c>
      <c r="AF10" s="113">
        <v>7450</v>
      </c>
      <c r="AG10" s="67">
        <f t="shared" si="10"/>
        <v>3874</v>
      </c>
      <c r="AH10" s="50">
        <f t="shared" si="3"/>
        <v>81.523569023569024</v>
      </c>
    </row>
    <row r="11" spans="2:34" x14ac:dyDescent="0.35">
      <c r="B11" s="8"/>
      <c r="C11" s="81"/>
      <c r="D11" s="100"/>
      <c r="E11" s="67"/>
      <c r="F11" s="245"/>
      <c r="G11" s="13"/>
      <c r="H11" s="113"/>
      <c r="I11" s="67"/>
      <c r="J11" s="11"/>
      <c r="K11" s="13"/>
      <c r="L11" s="113"/>
      <c r="M11" s="84"/>
      <c r="N11" s="50"/>
      <c r="O11" s="13"/>
      <c r="P11" s="113"/>
      <c r="Q11" s="67"/>
      <c r="R11" s="50"/>
      <c r="S11" s="13"/>
      <c r="T11" s="113"/>
      <c r="U11" s="67"/>
      <c r="V11" s="50"/>
      <c r="W11" s="13"/>
      <c r="X11" s="113"/>
      <c r="Y11" s="67"/>
      <c r="Z11" s="50"/>
      <c r="AA11" s="13"/>
      <c r="AB11" s="113"/>
      <c r="AC11" s="67"/>
      <c r="AD11" s="50"/>
      <c r="AE11" s="13"/>
      <c r="AF11" s="113"/>
      <c r="AG11" s="67"/>
      <c r="AH11" s="50"/>
    </row>
    <row r="12" spans="2:34" x14ac:dyDescent="0.35">
      <c r="B12" s="7" t="s">
        <v>11</v>
      </c>
      <c r="C12" s="81"/>
      <c r="D12" s="100"/>
      <c r="E12" s="67"/>
      <c r="F12" s="245"/>
      <c r="G12" s="13"/>
      <c r="H12" s="113"/>
      <c r="I12" s="67"/>
      <c r="J12" s="11"/>
      <c r="K12" s="13"/>
      <c r="L12" s="113"/>
      <c r="M12" s="84"/>
      <c r="N12" s="50"/>
      <c r="P12" s="113"/>
      <c r="Q12" s="67"/>
      <c r="R12" s="50"/>
      <c r="S12" s="13"/>
      <c r="T12" s="113"/>
      <c r="U12" s="67"/>
      <c r="V12" s="50"/>
      <c r="W12" s="13"/>
      <c r="X12" s="113"/>
      <c r="Y12" s="67"/>
      <c r="Z12" s="50"/>
      <c r="AA12" s="13"/>
      <c r="AB12" s="113"/>
      <c r="AC12" s="67"/>
      <c r="AD12" s="50"/>
      <c r="AE12" s="13"/>
      <c r="AF12" s="113"/>
      <c r="AG12" s="67"/>
      <c r="AH12" s="50"/>
    </row>
    <row r="13" spans="2:34" x14ac:dyDescent="0.35">
      <c r="B13" s="8" t="s">
        <v>152</v>
      </c>
      <c r="C13" s="81" t="s">
        <v>245</v>
      </c>
      <c r="D13" s="100" t="s">
        <v>84</v>
      </c>
      <c r="E13" s="67">
        <v>4945</v>
      </c>
      <c r="F13" s="245">
        <f t="shared" si="4"/>
        <v>104.06144781144781</v>
      </c>
      <c r="G13" s="13" t="s">
        <v>47</v>
      </c>
      <c r="H13" s="113">
        <v>9900</v>
      </c>
      <c r="I13" s="67">
        <f t="shared" si="5"/>
        <v>4752</v>
      </c>
      <c r="J13" s="11">
        <v>100</v>
      </c>
      <c r="K13" s="13" t="s">
        <v>68</v>
      </c>
      <c r="L13" s="113">
        <v>10077</v>
      </c>
      <c r="M13" s="84">
        <f t="shared" si="11"/>
        <v>5933.3375999999998</v>
      </c>
      <c r="N13" s="50">
        <f t="shared" ref="N13:N18" si="12">M13*100/$I13</f>
        <v>124.85979797979797</v>
      </c>
      <c r="O13" s="114" t="s">
        <v>71</v>
      </c>
      <c r="P13" s="113">
        <v>10117</v>
      </c>
      <c r="Q13" s="67">
        <f t="shared" si="7"/>
        <v>5058.5</v>
      </c>
      <c r="R13" s="50">
        <f t="shared" si="0"/>
        <v>106.44991582491582</v>
      </c>
      <c r="S13" s="13" t="s">
        <v>49</v>
      </c>
      <c r="T13" s="113">
        <v>7750</v>
      </c>
      <c r="U13" s="67">
        <f t="shared" si="8"/>
        <v>4030</v>
      </c>
      <c r="V13" s="50">
        <f t="shared" si="1"/>
        <v>84.806397306397301</v>
      </c>
      <c r="W13" s="114" t="s">
        <v>75</v>
      </c>
      <c r="X13" s="113">
        <v>12581</v>
      </c>
      <c r="Y13" s="67">
        <f t="shared" ref="Y13:Y18" si="13">X13-(X13*Y$1)-250</f>
        <v>6795.36</v>
      </c>
      <c r="Z13" s="50">
        <f t="shared" si="2"/>
        <v>143</v>
      </c>
      <c r="AA13" s="114" t="s">
        <v>79</v>
      </c>
      <c r="AB13" s="113"/>
      <c r="AC13" s="67">
        <v>2639</v>
      </c>
      <c r="AD13" s="50">
        <f t="shared" ref="AD13:AD22" si="14">AC13*100/$I13</f>
        <v>55.534511784511785</v>
      </c>
      <c r="AE13" s="114" t="s">
        <v>86</v>
      </c>
      <c r="AF13" s="113">
        <v>7450</v>
      </c>
      <c r="AG13" s="67">
        <f t="shared" si="10"/>
        <v>3874</v>
      </c>
      <c r="AH13" s="50">
        <f t="shared" si="3"/>
        <v>81.523569023569024</v>
      </c>
    </row>
    <row r="14" spans="2:34" x14ac:dyDescent="0.35">
      <c r="B14" s="8" t="s">
        <v>153</v>
      </c>
      <c r="C14" s="81" t="s">
        <v>269</v>
      </c>
      <c r="D14" s="100" t="s">
        <v>84</v>
      </c>
      <c r="E14" s="67">
        <v>4500</v>
      </c>
      <c r="F14" s="245">
        <f t="shared" si="4"/>
        <v>94.696969696969703</v>
      </c>
      <c r="G14" s="13" t="s">
        <v>47</v>
      </c>
      <c r="H14" s="113">
        <v>9900</v>
      </c>
      <c r="I14" s="67">
        <f t="shared" si="5"/>
        <v>4752</v>
      </c>
      <c r="J14" s="11">
        <v>100</v>
      </c>
      <c r="K14" s="13" t="s">
        <v>69</v>
      </c>
      <c r="L14" s="113">
        <v>10077</v>
      </c>
      <c r="M14" s="84">
        <f t="shared" si="11"/>
        <v>5933.3375999999998</v>
      </c>
      <c r="N14" s="50">
        <f t="shared" si="12"/>
        <v>124.85979797979797</v>
      </c>
      <c r="O14" s="114" t="s">
        <v>163</v>
      </c>
      <c r="P14" s="113">
        <v>9677</v>
      </c>
      <c r="Q14" s="67">
        <f t="shared" si="7"/>
        <v>4838.5</v>
      </c>
      <c r="R14" s="50">
        <f t="shared" si="0"/>
        <v>101.8202861952862</v>
      </c>
      <c r="S14" s="13" t="s">
        <v>244</v>
      </c>
      <c r="T14" s="113">
        <v>7240</v>
      </c>
      <c r="U14" s="67">
        <f t="shared" si="8"/>
        <v>3764.8</v>
      </c>
      <c r="V14" s="50">
        <f t="shared" si="1"/>
        <v>79.225589225589232</v>
      </c>
      <c r="W14" s="114" t="s">
        <v>76</v>
      </c>
      <c r="X14" s="113">
        <v>12581</v>
      </c>
      <c r="Y14" s="67">
        <f t="shared" si="13"/>
        <v>6795.36</v>
      </c>
      <c r="Z14" s="50">
        <f t="shared" si="2"/>
        <v>143</v>
      </c>
      <c r="AA14" s="114" t="s">
        <v>80</v>
      </c>
      <c r="AB14" s="113"/>
      <c r="AC14" s="67">
        <v>2925</v>
      </c>
      <c r="AD14" s="50">
        <f t="shared" si="14"/>
        <v>61.553030303030305</v>
      </c>
      <c r="AE14" s="114" t="s">
        <v>87</v>
      </c>
      <c r="AF14" s="113">
        <v>7850</v>
      </c>
      <c r="AG14" s="67">
        <f t="shared" si="10"/>
        <v>4082</v>
      </c>
      <c r="AH14" s="50">
        <f t="shared" si="3"/>
        <v>85.900673400673398</v>
      </c>
    </row>
    <row r="15" spans="2:34" x14ac:dyDescent="0.35">
      <c r="B15" s="8" t="s">
        <v>5</v>
      </c>
      <c r="C15" s="81" t="s">
        <v>269</v>
      </c>
      <c r="D15" s="100" t="s">
        <v>84</v>
      </c>
      <c r="E15" s="67">
        <v>4700</v>
      </c>
      <c r="F15" s="245">
        <f t="shared" si="4"/>
        <v>93.70015948963318</v>
      </c>
      <c r="G15" s="13" t="s">
        <v>47</v>
      </c>
      <c r="H15" s="113">
        <v>10450</v>
      </c>
      <c r="I15" s="67">
        <f t="shared" si="5"/>
        <v>5016</v>
      </c>
      <c r="J15" s="11">
        <v>100</v>
      </c>
      <c r="K15" s="13" t="s">
        <v>68</v>
      </c>
      <c r="L15" s="113">
        <v>10517</v>
      </c>
      <c r="M15" s="84">
        <f t="shared" si="11"/>
        <v>6192.4096</v>
      </c>
      <c r="N15" s="50">
        <f t="shared" si="12"/>
        <v>123.45314194577352</v>
      </c>
      <c r="O15" s="114" t="s">
        <v>163</v>
      </c>
      <c r="P15" s="113">
        <v>10142</v>
      </c>
      <c r="Q15" s="67">
        <f t="shared" si="7"/>
        <v>5071</v>
      </c>
      <c r="R15" s="50">
        <f t="shared" si="0"/>
        <v>101.09649122807018</v>
      </c>
      <c r="S15" s="13" t="s">
        <v>36</v>
      </c>
      <c r="T15" s="113">
        <v>7570</v>
      </c>
      <c r="U15" s="67">
        <f t="shared" si="8"/>
        <v>3936.4</v>
      </c>
      <c r="V15" s="50">
        <f t="shared" si="1"/>
        <v>78.476874003189792</v>
      </c>
      <c r="W15" s="114" t="s">
        <v>75</v>
      </c>
      <c r="X15" s="113">
        <v>13507</v>
      </c>
      <c r="Y15" s="67">
        <f t="shared" si="13"/>
        <v>7313.92</v>
      </c>
      <c r="Z15" s="50">
        <f t="shared" si="2"/>
        <v>145.81180223285486</v>
      </c>
      <c r="AA15" s="114" t="s">
        <v>79</v>
      </c>
      <c r="AB15" s="113"/>
      <c r="AC15" s="67">
        <v>3001</v>
      </c>
      <c r="AD15" s="50">
        <f t="shared" si="14"/>
        <v>59.82854864433812</v>
      </c>
      <c r="AE15" s="114" t="s">
        <v>87</v>
      </c>
      <c r="AF15" s="113">
        <v>8101</v>
      </c>
      <c r="AG15" s="67">
        <f t="shared" si="10"/>
        <v>4212.5200000000004</v>
      </c>
      <c r="AH15" s="50">
        <f t="shared" si="3"/>
        <v>83.981658692185022</v>
      </c>
    </row>
    <row r="16" spans="2:34" x14ac:dyDescent="0.35">
      <c r="B16" s="8" t="s">
        <v>7</v>
      </c>
      <c r="C16" s="81" t="s">
        <v>65</v>
      </c>
      <c r="D16" s="100" t="s">
        <v>84</v>
      </c>
      <c r="E16" s="67">
        <v>4588</v>
      </c>
      <c r="F16" s="245">
        <f t="shared" si="4"/>
        <v>108.88964836333258</v>
      </c>
      <c r="G16" s="13" t="s">
        <v>66</v>
      </c>
      <c r="H16" s="113">
        <v>8778</v>
      </c>
      <c r="I16" s="67">
        <f t="shared" si="5"/>
        <v>4213.4399999999996</v>
      </c>
      <c r="J16" s="11">
        <v>100</v>
      </c>
      <c r="K16" s="13" t="s">
        <v>162</v>
      </c>
      <c r="L16" s="113">
        <v>8825</v>
      </c>
      <c r="M16" s="84">
        <f t="shared" si="11"/>
        <v>5196.16</v>
      </c>
      <c r="N16" s="50">
        <f t="shared" si="12"/>
        <v>123.32346016556544</v>
      </c>
      <c r="O16" s="114" t="s">
        <v>163</v>
      </c>
      <c r="P16" s="113">
        <v>8482</v>
      </c>
      <c r="Q16" s="67">
        <f t="shared" si="7"/>
        <v>4241</v>
      </c>
      <c r="R16" s="50">
        <f t="shared" si="0"/>
        <v>100.65409736462369</v>
      </c>
      <c r="S16" s="13" t="s">
        <v>37</v>
      </c>
      <c r="T16" s="113">
        <v>6750</v>
      </c>
      <c r="U16" s="67">
        <f t="shared" si="8"/>
        <v>3510</v>
      </c>
      <c r="V16" s="50">
        <f t="shared" si="1"/>
        <v>83.304853041695154</v>
      </c>
      <c r="W16" s="114" t="s">
        <v>50</v>
      </c>
      <c r="X16" s="113">
        <v>11537</v>
      </c>
      <c r="Y16" s="67">
        <f t="shared" si="13"/>
        <v>6210.72</v>
      </c>
      <c r="Z16" s="50">
        <f t="shared" si="2"/>
        <v>147.40259740259742</v>
      </c>
      <c r="AA16" s="114" t="s">
        <v>83</v>
      </c>
      <c r="AB16" s="113"/>
      <c r="AC16" s="67">
        <v>1905</v>
      </c>
      <c r="AD16" s="50">
        <f t="shared" si="14"/>
        <v>45.212462975620873</v>
      </c>
      <c r="AE16" s="114" t="s">
        <v>86</v>
      </c>
      <c r="AF16" s="113">
        <v>6584</v>
      </c>
      <c r="AG16" s="67">
        <f t="shared" si="10"/>
        <v>3423.6800000000003</v>
      </c>
      <c r="AH16" s="50">
        <f t="shared" si="3"/>
        <v>81.256170729854944</v>
      </c>
    </row>
    <row r="17" spans="2:34" x14ac:dyDescent="0.35">
      <c r="B17" s="8" t="s">
        <v>155</v>
      </c>
      <c r="C17" s="81" t="s">
        <v>65</v>
      </c>
      <c r="D17" s="100" t="s">
        <v>84</v>
      </c>
      <c r="E17" s="67">
        <v>4927</v>
      </c>
      <c r="F17" s="245">
        <f t="shared" si="4"/>
        <v>100.12274027831968</v>
      </c>
      <c r="G17" s="13" t="s">
        <v>47</v>
      </c>
      <c r="H17" s="113">
        <v>10252</v>
      </c>
      <c r="I17" s="67">
        <f t="shared" si="5"/>
        <v>4920.96</v>
      </c>
      <c r="J17" s="11">
        <v>100</v>
      </c>
      <c r="K17" s="13" t="s">
        <v>68</v>
      </c>
      <c r="L17" s="113">
        <v>10208</v>
      </c>
      <c r="M17" s="84">
        <f t="shared" si="11"/>
        <v>6010.4704000000002</v>
      </c>
      <c r="N17" s="50">
        <f t="shared" si="12"/>
        <v>122.14020028612303</v>
      </c>
      <c r="O17" s="114" t="s">
        <v>71</v>
      </c>
      <c r="P17" s="113">
        <v>10142</v>
      </c>
      <c r="Q17" s="67">
        <f t="shared" si="7"/>
        <v>5071</v>
      </c>
      <c r="R17" s="50">
        <f t="shared" si="0"/>
        <v>103.04899856938484</v>
      </c>
      <c r="S17" s="13" t="s">
        <v>49</v>
      </c>
      <c r="T17" s="113">
        <v>7975</v>
      </c>
      <c r="U17" s="67">
        <f t="shared" si="8"/>
        <v>4147</v>
      </c>
      <c r="V17" s="50">
        <f t="shared" si="1"/>
        <v>84.27217453505007</v>
      </c>
      <c r="W17" s="114" t="s">
        <v>75</v>
      </c>
      <c r="X17" s="113">
        <v>13507</v>
      </c>
      <c r="Y17" s="67">
        <f t="shared" si="13"/>
        <v>7313.92</v>
      </c>
      <c r="Z17" s="50">
        <f t="shared" si="2"/>
        <v>148.62791000130056</v>
      </c>
      <c r="AA17" s="114" t="s">
        <v>79</v>
      </c>
      <c r="AB17" s="113"/>
      <c r="AC17" s="67">
        <v>2678</v>
      </c>
      <c r="AD17" s="50">
        <f t="shared" si="14"/>
        <v>54.420275718558983</v>
      </c>
      <c r="AE17" s="114" t="s">
        <v>86</v>
      </c>
      <c r="AF17" s="113">
        <v>7925</v>
      </c>
      <c r="AG17" s="67">
        <f t="shared" si="10"/>
        <v>4121</v>
      </c>
      <c r="AH17" s="50">
        <f t="shared" si="3"/>
        <v>83.743822343607746</v>
      </c>
    </row>
    <row r="18" spans="2:34" x14ac:dyDescent="0.35">
      <c r="B18" s="8" t="s">
        <v>154</v>
      </c>
      <c r="C18" s="81" t="s">
        <v>269</v>
      </c>
      <c r="D18" s="100" t="s">
        <v>84</v>
      </c>
      <c r="E18" s="67">
        <v>4700</v>
      </c>
      <c r="F18" s="245">
        <f t="shared" si="4"/>
        <v>95.509819222265577</v>
      </c>
      <c r="G18" s="13" t="s">
        <v>47</v>
      </c>
      <c r="H18" s="113">
        <v>10252</v>
      </c>
      <c r="I18" s="67">
        <f t="shared" si="5"/>
        <v>4920.96</v>
      </c>
      <c r="J18" s="11">
        <v>100</v>
      </c>
      <c r="K18" s="13" t="s">
        <v>69</v>
      </c>
      <c r="L18" s="113">
        <v>10208</v>
      </c>
      <c r="M18" s="84">
        <f t="shared" si="11"/>
        <v>6010.4704000000002</v>
      </c>
      <c r="N18" s="50">
        <f t="shared" si="12"/>
        <v>122.14020028612303</v>
      </c>
      <c r="O18" s="114" t="s">
        <v>72</v>
      </c>
      <c r="P18" s="113">
        <v>10142</v>
      </c>
      <c r="Q18" s="67">
        <f t="shared" si="7"/>
        <v>5071</v>
      </c>
      <c r="R18" s="50">
        <f t="shared" si="0"/>
        <v>103.04899856938484</v>
      </c>
      <c r="S18" s="13" t="s">
        <v>36</v>
      </c>
      <c r="T18" s="113">
        <v>7570</v>
      </c>
      <c r="U18" s="67">
        <f t="shared" si="8"/>
        <v>3936.4</v>
      </c>
      <c r="V18" s="50">
        <f t="shared" si="1"/>
        <v>79.992521784367284</v>
      </c>
      <c r="W18" s="114" t="s">
        <v>77</v>
      </c>
      <c r="X18" s="113">
        <v>13365</v>
      </c>
      <c r="Y18" s="67">
        <f t="shared" si="13"/>
        <v>7234.4</v>
      </c>
      <c r="Z18" s="50">
        <f t="shared" si="2"/>
        <v>147.01196514501237</v>
      </c>
      <c r="AA18" s="114" t="s">
        <v>81</v>
      </c>
      <c r="AB18" s="113"/>
      <c r="AC18" s="67">
        <v>2941</v>
      </c>
      <c r="AD18" s="50">
        <f t="shared" si="14"/>
        <v>59.76476134737937</v>
      </c>
      <c r="AE18" s="114" t="s">
        <v>87</v>
      </c>
      <c r="AF18" s="113">
        <v>7995</v>
      </c>
      <c r="AG18" s="67">
        <f t="shared" si="10"/>
        <v>4157.3999999999996</v>
      </c>
      <c r="AH18" s="50">
        <f t="shared" si="3"/>
        <v>84.483515411626982</v>
      </c>
    </row>
    <row r="19" spans="2:34" x14ac:dyDescent="0.35">
      <c r="B19" s="8"/>
      <c r="C19" s="81"/>
      <c r="D19" s="100"/>
      <c r="E19" s="67"/>
      <c r="F19" s="245"/>
      <c r="G19" s="13"/>
      <c r="H19" s="113"/>
      <c r="I19" s="67"/>
      <c r="J19" s="11"/>
      <c r="K19" s="13"/>
      <c r="L19" s="113"/>
      <c r="M19" s="84"/>
      <c r="N19" s="50"/>
      <c r="O19" s="13"/>
      <c r="P19" s="113"/>
      <c r="Q19" s="67"/>
      <c r="R19" s="50"/>
      <c r="S19" s="13"/>
      <c r="T19" s="113"/>
      <c r="U19" s="67"/>
      <c r="V19" s="50"/>
      <c r="W19" s="13"/>
      <c r="X19" s="113"/>
      <c r="Y19" s="67"/>
      <c r="Z19" s="50"/>
      <c r="AA19" s="13"/>
      <c r="AB19" s="113"/>
      <c r="AC19" s="67"/>
      <c r="AD19" s="50"/>
      <c r="AE19" s="13"/>
      <c r="AF19" s="113"/>
      <c r="AG19" s="67"/>
      <c r="AH19" s="50"/>
    </row>
    <row r="20" spans="2:34" x14ac:dyDescent="0.35">
      <c r="B20" s="7" t="s">
        <v>12</v>
      </c>
      <c r="C20" s="81"/>
      <c r="D20" s="100"/>
      <c r="E20" s="67"/>
      <c r="F20" s="245"/>
      <c r="G20" s="13"/>
      <c r="H20" s="113"/>
      <c r="I20" s="67"/>
      <c r="J20" s="11"/>
      <c r="K20" s="13"/>
      <c r="L20" s="113"/>
      <c r="M20" s="84"/>
      <c r="N20" s="50"/>
      <c r="O20" s="13"/>
      <c r="P20" s="113"/>
      <c r="Q20" s="67"/>
      <c r="R20" s="50"/>
      <c r="S20" s="13"/>
      <c r="T20" s="113"/>
      <c r="U20" s="67"/>
      <c r="V20" s="50"/>
      <c r="W20" s="13"/>
      <c r="X20" s="113"/>
      <c r="Y20" s="67"/>
      <c r="Z20" s="50"/>
      <c r="AA20" s="13"/>
      <c r="AB20" s="113"/>
      <c r="AC20" s="67"/>
      <c r="AD20" s="50"/>
      <c r="AE20" s="13"/>
      <c r="AF20" s="113"/>
      <c r="AG20" s="67"/>
      <c r="AH20" s="50"/>
    </row>
    <row r="21" spans="2:34" x14ac:dyDescent="0.35">
      <c r="B21" s="8" t="s">
        <v>4</v>
      </c>
      <c r="C21" s="81" t="s">
        <v>161</v>
      </c>
      <c r="D21" s="100" t="s">
        <v>84</v>
      </c>
      <c r="E21" s="67">
        <v>4750</v>
      </c>
      <c r="F21" s="245">
        <f t="shared" si="4"/>
        <v>98.859473859473852</v>
      </c>
      <c r="G21" s="13" t="s">
        <v>48</v>
      </c>
      <c r="H21" s="113">
        <v>10010</v>
      </c>
      <c r="I21" s="67">
        <f t="shared" si="5"/>
        <v>4804.8</v>
      </c>
      <c r="J21" s="11">
        <v>100</v>
      </c>
      <c r="K21" s="13" t="s">
        <v>70</v>
      </c>
      <c r="L21" s="100">
        <v>9729</v>
      </c>
      <c r="M21" s="84">
        <f t="shared" si="11"/>
        <v>5728.4351999999999</v>
      </c>
      <c r="N21" s="50">
        <f t="shared" ref="N21:N22" si="15">M21*100/$I21</f>
        <v>119.22317682317683</v>
      </c>
      <c r="O21" s="114" t="s">
        <v>164</v>
      </c>
      <c r="P21" s="113">
        <v>8743</v>
      </c>
      <c r="Q21" s="67">
        <f t="shared" si="7"/>
        <v>4371.5</v>
      </c>
      <c r="R21" s="50">
        <f t="shared" si="0"/>
        <v>90.981934731934729</v>
      </c>
      <c r="S21" s="13" t="s">
        <v>271</v>
      </c>
      <c r="T21" s="113">
        <v>6988</v>
      </c>
      <c r="U21" s="67">
        <f t="shared" si="8"/>
        <v>3633.76</v>
      </c>
      <c r="V21" s="50">
        <f t="shared" si="1"/>
        <v>75.627705627705623</v>
      </c>
      <c r="W21" s="114" t="s">
        <v>197</v>
      </c>
      <c r="X21" s="113">
        <v>11537</v>
      </c>
      <c r="Y21" s="67">
        <f t="shared" ref="Y21" si="16">X21-(X21*Y$1)-250</f>
        <v>6210.72</v>
      </c>
      <c r="Z21" s="50">
        <f t="shared" si="2"/>
        <v>129.26073926073926</v>
      </c>
      <c r="AA21" s="114" t="s">
        <v>82</v>
      </c>
      <c r="AB21" s="113"/>
      <c r="AC21" s="67">
        <v>2941</v>
      </c>
      <c r="AD21" s="50">
        <f t="shared" si="14"/>
        <v>61.209623709623706</v>
      </c>
      <c r="AE21" s="114" t="s">
        <v>166</v>
      </c>
      <c r="AF21" s="113">
        <v>8631</v>
      </c>
      <c r="AG21" s="67">
        <f t="shared" si="10"/>
        <v>4488.12</v>
      </c>
      <c r="AH21" s="50">
        <f t="shared" si="3"/>
        <v>93.409090909090907</v>
      </c>
    </row>
    <row r="22" spans="2:34" x14ac:dyDescent="0.35">
      <c r="B22" s="8" t="s">
        <v>8</v>
      </c>
      <c r="C22" s="81" t="s">
        <v>247</v>
      </c>
      <c r="D22" s="100" t="s">
        <v>84</v>
      </c>
      <c r="E22" s="67">
        <v>3250</v>
      </c>
      <c r="F22" s="245">
        <f t="shared" si="4"/>
        <v>107.23524443036639</v>
      </c>
      <c r="G22" s="13" t="s">
        <v>270</v>
      </c>
      <c r="H22" s="113">
        <v>6314</v>
      </c>
      <c r="I22" s="67">
        <f t="shared" si="5"/>
        <v>3030.72</v>
      </c>
      <c r="J22" s="11">
        <v>100</v>
      </c>
      <c r="K22" s="13" t="s">
        <v>70</v>
      </c>
      <c r="L22" s="100">
        <v>6349</v>
      </c>
      <c r="M22" s="84">
        <f t="shared" si="11"/>
        <v>3738.2912000000001</v>
      </c>
      <c r="N22" s="50">
        <f t="shared" si="15"/>
        <v>123.34663710273468</v>
      </c>
      <c r="O22" s="114" t="s">
        <v>164</v>
      </c>
      <c r="P22" s="113">
        <v>5728</v>
      </c>
      <c r="Q22" s="67">
        <f t="shared" si="7"/>
        <v>2864</v>
      </c>
      <c r="R22" s="50">
        <f t="shared" si="0"/>
        <v>94.498996938021335</v>
      </c>
      <c r="S22" s="13" t="s">
        <v>73</v>
      </c>
      <c r="T22" s="113">
        <v>5591</v>
      </c>
      <c r="U22" s="67">
        <f t="shared" si="8"/>
        <v>2907.32</v>
      </c>
      <c r="V22" s="50">
        <f t="shared" si="1"/>
        <v>95.928360257628555</v>
      </c>
      <c r="W22" s="114" t="s">
        <v>165</v>
      </c>
      <c r="X22" s="113">
        <v>7478</v>
      </c>
      <c r="Y22" s="67">
        <f>X22-(X22*Y$1)-150</f>
        <v>4037.6800000000003</v>
      </c>
      <c r="Z22" s="50">
        <f t="shared" si="2"/>
        <v>133.22510822510824</v>
      </c>
      <c r="AA22" s="114" t="s">
        <v>83</v>
      </c>
      <c r="AB22" s="113"/>
      <c r="AC22" s="67">
        <v>1659</v>
      </c>
      <c r="AD22" s="50">
        <f t="shared" si="14"/>
        <v>54.739467849223949</v>
      </c>
      <c r="AE22" s="114" t="s">
        <v>167</v>
      </c>
      <c r="AF22" s="113">
        <v>5140</v>
      </c>
      <c r="AG22" s="67">
        <f t="shared" si="10"/>
        <v>2672.8</v>
      </c>
      <c r="AH22" s="50">
        <f t="shared" si="3"/>
        <v>88.190265019533314</v>
      </c>
    </row>
    <row r="23" spans="2:34" x14ac:dyDescent="0.35">
      <c r="D23" s="41"/>
      <c r="E23" s="41"/>
      <c r="F23" s="3"/>
      <c r="K23"/>
      <c r="M23" s="3"/>
      <c r="N23"/>
      <c r="O23"/>
      <c r="P23"/>
      <c r="Q23"/>
      <c r="AB23" s="3"/>
      <c r="AF23" s="3"/>
    </row>
    <row r="24" spans="2:34" x14ac:dyDescent="0.35">
      <c r="D24" s="48"/>
      <c r="E24" s="48">
        <f>SUM(E7:E23)</f>
        <v>56024</v>
      </c>
      <c r="F24" s="48">
        <f>E24*100/$I24</f>
        <v>98.942615261153122</v>
      </c>
      <c r="G24" s="41"/>
      <c r="H24" s="48">
        <f>SUM(H7:H22)</f>
        <v>117964</v>
      </c>
      <c r="I24" s="48">
        <f>SUM(I7:I22)</f>
        <v>56622.720000000001</v>
      </c>
      <c r="J24" s="50">
        <v>100</v>
      </c>
      <c r="K24" s="41"/>
      <c r="L24" s="48">
        <f>SUM(L6:L22)</f>
        <v>118665</v>
      </c>
      <c r="M24" s="48">
        <f>SUM(M7:M22)</f>
        <v>69738.5</v>
      </c>
      <c r="N24" s="48">
        <f>M24*100/$I24</f>
        <v>123.16345806065127</v>
      </c>
      <c r="O24" s="41"/>
      <c r="P24" s="41">
        <f>SUM(P7:P22)</f>
        <v>113242</v>
      </c>
      <c r="Q24" s="41">
        <f>SUM(Q7:Q22)</f>
        <v>56621</v>
      </c>
      <c r="R24" s="48">
        <f>Q24*100/$I24</f>
        <v>99.996962350095501</v>
      </c>
      <c r="S24" s="41"/>
      <c r="T24" s="41">
        <f>SUM(T7:T22)</f>
        <v>89419</v>
      </c>
      <c r="U24" s="41">
        <f>SUM(U7:U22)</f>
        <v>46497.880000000005</v>
      </c>
      <c r="V24" s="48">
        <f>U24*100/$I24</f>
        <v>82.118767872684316</v>
      </c>
      <c r="W24" s="41"/>
      <c r="X24" s="48">
        <f>SUM(X7:X22)</f>
        <v>152091</v>
      </c>
      <c r="Y24" s="48">
        <f>SUM(Y7:Y22)</f>
        <v>82270.959999999992</v>
      </c>
      <c r="Z24" s="48">
        <f>Y24*100/$I24</f>
        <v>145.29672894555398</v>
      </c>
      <c r="AA24" s="41"/>
      <c r="AB24" s="48"/>
      <c r="AC24" s="48">
        <f>SUM(AC13:AC22)</f>
        <v>20689</v>
      </c>
      <c r="AD24" s="165"/>
      <c r="AE24" s="41"/>
      <c r="AF24" s="48">
        <f>SUM(AF7:AF22)</f>
        <v>91924</v>
      </c>
      <c r="AG24" s="48">
        <f>SUM(AG7:AG22)</f>
        <v>47800.48000000001</v>
      </c>
      <c r="AH24" s="48">
        <f>AG24*100/$I24</f>
        <v>84.419257852678228</v>
      </c>
    </row>
    <row r="25" spans="2:34" x14ac:dyDescent="0.35">
      <c r="N25"/>
      <c r="O25"/>
      <c r="P25"/>
      <c r="Q25"/>
    </row>
    <row r="26" spans="2:34" x14ac:dyDescent="0.35">
      <c r="H26" s="243" t="s">
        <v>248</v>
      </c>
      <c r="I26" s="244">
        <f>SUM(I13:I22)</f>
        <v>36410.879999999997</v>
      </c>
      <c r="J26" s="66"/>
      <c r="N26"/>
      <c r="O26"/>
      <c r="P26"/>
      <c r="Q26"/>
    </row>
    <row r="27" spans="2:34" x14ac:dyDescent="0.35">
      <c r="C27" s="3"/>
      <c r="D27" s="3"/>
      <c r="E27" s="3"/>
      <c r="H27" s="249" t="s">
        <v>272</v>
      </c>
    </row>
    <row r="29" spans="2:34" x14ac:dyDescent="0.35">
      <c r="B29" s="42" t="s">
        <v>59</v>
      </c>
      <c r="C29" s="43" t="s">
        <v>88</v>
      </c>
      <c r="D29" s="43" t="s">
        <v>56</v>
      </c>
      <c r="J29" s="3"/>
    </row>
    <row r="30" spans="2:34" x14ac:dyDescent="0.35">
      <c r="B30" s="6" t="s">
        <v>0</v>
      </c>
      <c r="C30" s="65" t="s">
        <v>78</v>
      </c>
      <c r="D30" s="44" t="s">
        <v>78</v>
      </c>
      <c r="E30" s="3"/>
      <c r="J30" s="3"/>
    </row>
    <row r="31" spans="2:34" x14ac:dyDescent="0.35">
      <c r="B31" s="6" t="s">
        <v>1</v>
      </c>
      <c r="C31" s="65">
        <f>H24</f>
        <v>117964</v>
      </c>
      <c r="D31" s="44">
        <v>100</v>
      </c>
      <c r="E31" s="110"/>
      <c r="J31" s="3"/>
    </row>
    <row r="32" spans="2:34" x14ac:dyDescent="0.35">
      <c r="B32" s="6" t="s">
        <v>31</v>
      </c>
      <c r="C32" s="65">
        <f>L24</f>
        <v>118665</v>
      </c>
      <c r="D32" s="44">
        <f>C32*100/C$31</f>
        <v>100.59424909294361</v>
      </c>
      <c r="E32" s="110"/>
      <c r="J32" s="3"/>
    </row>
    <row r="33" spans="2:10" x14ac:dyDescent="0.35">
      <c r="B33" s="6" t="s">
        <v>2</v>
      </c>
      <c r="C33" s="65">
        <f>P24</f>
        <v>113242</v>
      </c>
      <c r="D33" s="44">
        <f>C33*100/C$31</f>
        <v>95.997083856091692</v>
      </c>
      <c r="E33" s="110"/>
      <c r="J33" s="3"/>
    </row>
    <row r="34" spans="2:10" x14ac:dyDescent="0.35">
      <c r="B34" s="6" t="s">
        <v>38</v>
      </c>
      <c r="C34" s="65">
        <f>T24</f>
        <v>89419</v>
      </c>
      <c r="D34" s="44">
        <f>C34*100/C$31</f>
        <v>75.801939574785521</v>
      </c>
      <c r="E34" s="110"/>
      <c r="J34" s="3"/>
    </row>
    <row r="35" spans="2:10" x14ac:dyDescent="0.35">
      <c r="B35" s="81" t="s">
        <v>45</v>
      </c>
      <c r="C35" s="100">
        <f>X24</f>
        <v>152091</v>
      </c>
      <c r="D35" s="44">
        <f>C35*100/C$31</f>
        <v>128.93001254620054</v>
      </c>
      <c r="E35" s="110"/>
      <c r="J35" s="3"/>
    </row>
    <row r="36" spans="2:10" x14ac:dyDescent="0.35">
      <c r="B36" s="81" t="s">
        <v>57</v>
      </c>
      <c r="C36" s="113" t="s">
        <v>78</v>
      </c>
      <c r="D36" s="161" t="s">
        <v>78</v>
      </c>
      <c r="J36" s="3"/>
    </row>
    <row r="37" spans="2:10" x14ac:dyDescent="0.35">
      <c r="B37" s="81" t="s">
        <v>58</v>
      </c>
      <c r="C37" s="100">
        <f>AF24</f>
        <v>91924</v>
      </c>
      <c r="D37" s="44">
        <f>C37*100/C$31</f>
        <v>77.925468787087581</v>
      </c>
      <c r="J37" s="3"/>
    </row>
    <row r="38" spans="2:10" x14ac:dyDescent="0.35">
      <c r="J38" s="3"/>
    </row>
    <row r="39" spans="2:10" x14ac:dyDescent="0.35">
      <c r="B39" s="42" t="s">
        <v>54</v>
      </c>
      <c r="C39" s="43" t="s">
        <v>60</v>
      </c>
      <c r="D39" s="43" t="s">
        <v>61</v>
      </c>
      <c r="J39" s="3"/>
    </row>
    <row r="40" spans="2:10" x14ac:dyDescent="0.35">
      <c r="B40" s="6" t="s">
        <v>1</v>
      </c>
      <c r="C40" s="65">
        <f>I24</f>
        <v>56622.720000000001</v>
      </c>
      <c r="D40" s="47">
        <v>100</v>
      </c>
      <c r="J40" s="3"/>
    </row>
    <row r="41" spans="2:10" x14ac:dyDescent="0.35">
      <c r="B41" s="6" t="s">
        <v>0</v>
      </c>
      <c r="C41" s="65">
        <f>E24</f>
        <v>56024</v>
      </c>
      <c r="D41" s="44">
        <f>C41*100/C$40</f>
        <v>98.942615261153122</v>
      </c>
      <c r="J41" s="3"/>
    </row>
    <row r="42" spans="2:10" x14ac:dyDescent="0.35">
      <c r="B42" s="6" t="s">
        <v>31</v>
      </c>
      <c r="C42" s="65">
        <f>M24</f>
        <v>69738.5</v>
      </c>
      <c r="D42" s="44">
        <f t="shared" ref="D42:D47" si="17">C42*100/C$40</f>
        <v>123.16345806065127</v>
      </c>
      <c r="J42" s="3"/>
    </row>
    <row r="43" spans="2:10" x14ac:dyDescent="0.35">
      <c r="B43" s="6" t="s">
        <v>2</v>
      </c>
      <c r="C43" s="65">
        <f>Q24</f>
        <v>56621</v>
      </c>
      <c r="D43" s="44">
        <f t="shared" si="17"/>
        <v>99.996962350095501</v>
      </c>
      <c r="J43" s="3"/>
    </row>
    <row r="44" spans="2:10" x14ac:dyDescent="0.35">
      <c r="B44" s="6" t="s">
        <v>38</v>
      </c>
      <c r="C44" s="65">
        <f>U24</f>
        <v>46497.880000000005</v>
      </c>
      <c r="D44" s="44">
        <f t="shared" si="17"/>
        <v>82.118767872684316</v>
      </c>
    </row>
    <row r="45" spans="2:10" x14ac:dyDescent="0.35">
      <c r="B45" s="81" t="s">
        <v>45</v>
      </c>
      <c r="C45" s="100">
        <f>Y24</f>
        <v>82270.959999999992</v>
      </c>
      <c r="D45" s="44">
        <f t="shared" si="17"/>
        <v>145.29672894555398</v>
      </c>
    </row>
    <row r="46" spans="2:10" x14ac:dyDescent="0.35">
      <c r="B46" s="81" t="s">
        <v>57</v>
      </c>
      <c r="C46" s="250">
        <v>33174</v>
      </c>
      <c r="D46" s="44">
        <f>AC24*100/33481</f>
        <v>61.793255876467249</v>
      </c>
      <c r="E46" t="s">
        <v>273</v>
      </c>
      <c r="H46" s="251">
        <v>0.56999999999999995</v>
      </c>
      <c r="J46" s="3"/>
    </row>
    <row r="47" spans="2:10" x14ac:dyDescent="0.35">
      <c r="B47" s="81" t="s">
        <v>58</v>
      </c>
      <c r="C47" s="100">
        <f>AG24</f>
        <v>47800.48000000001</v>
      </c>
      <c r="D47" s="44">
        <f t="shared" si="17"/>
        <v>84.419257852678228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B6546-936F-4326-A182-7F11FE8BDB5F}">
  <dimension ref="B3:AA50"/>
  <sheetViews>
    <sheetView topLeftCell="R1" workbookViewId="0">
      <selection activeCell="Y11" sqref="Y11"/>
    </sheetView>
  </sheetViews>
  <sheetFormatPr baseColWidth="10" defaultRowHeight="14.5" x14ac:dyDescent="0.35"/>
  <cols>
    <col min="1" max="1" width="5.26953125" customWidth="1"/>
    <col min="2" max="2" width="25.453125" customWidth="1"/>
    <col min="6" max="6" width="24.453125" customWidth="1"/>
    <col min="7" max="7" width="18.6328125" customWidth="1"/>
    <col min="8" max="8" width="2.453125" customWidth="1"/>
    <col min="9" max="9" width="17.36328125" customWidth="1"/>
    <col min="13" max="13" width="23.453125" customWidth="1"/>
    <col min="14" max="14" width="20.36328125" customWidth="1"/>
    <col min="15" max="15" width="2.36328125" customWidth="1"/>
    <col min="16" max="16" width="17.6328125" customWidth="1"/>
    <col min="17" max="17" width="15.36328125" customWidth="1"/>
    <col min="19" max="19" width="11.7265625" customWidth="1"/>
    <col min="20" max="20" width="24.36328125" customWidth="1"/>
    <col min="21" max="21" width="21.90625" customWidth="1"/>
    <col min="23" max="23" width="16.90625" customWidth="1"/>
    <col min="24" max="24" width="15.90625" customWidth="1"/>
    <col min="26" max="26" width="25.08984375" customWidth="1"/>
    <col min="27" max="27" width="21.1796875" customWidth="1"/>
  </cols>
  <sheetData>
    <row r="3" spans="2:27" ht="15" thickBot="1" x14ac:dyDescent="0.4"/>
    <row r="4" spans="2:27" ht="29" thickBot="1" x14ac:dyDescent="0.7">
      <c r="B4" s="180"/>
      <c r="C4" s="181" t="s">
        <v>177</v>
      </c>
      <c r="D4" s="181"/>
      <c r="E4" s="182"/>
      <c r="F4" s="183"/>
      <c r="G4" s="184"/>
      <c r="I4" s="106"/>
      <c r="J4" s="207" t="s">
        <v>188</v>
      </c>
      <c r="K4" s="207"/>
      <c r="L4" s="208"/>
      <c r="M4" s="209"/>
      <c r="N4" s="210"/>
      <c r="P4" s="106"/>
      <c r="Q4" s="207" t="s">
        <v>192</v>
      </c>
      <c r="R4" s="207"/>
      <c r="S4" s="208"/>
      <c r="T4" s="209"/>
      <c r="U4" s="210"/>
      <c r="W4" s="180"/>
      <c r="X4" s="181" t="s">
        <v>212</v>
      </c>
      <c r="Y4" s="181"/>
      <c r="Z4" s="183"/>
      <c r="AA4" s="184"/>
    </row>
    <row r="5" spans="2:27" ht="15" thickBot="1" x14ac:dyDescent="0.4">
      <c r="B5" s="185" t="s">
        <v>9</v>
      </c>
      <c r="C5" s="186" t="s">
        <v>17</v>
      </c>
      <c r="D5" s="187" t="s">
        <v>14</v>
      </c>
      <c r="E5" s="187" t="s">
        <v>178</v>
      </c>
      <c r="F5" s="187" t="s">
        <v>179</v>
      </c>
      <c r="G5" s="188" t="s">
        <v>282</v>
      </c>
      <c r="I5" s="194" t="s">
        <v>9</v>
      </c>
      <c r="J5" s="255" t="s">
        <v>17</v>
      </c>
      <c r="K5" s="256" t="s">
        <v>14</v>
      </c>
      <c r="L5" s="256" t="s">
        <v>178</v>
      </c>
      <c r="M5" s="256" t="s">
        <v>179</v>
      </c>
      <c r="N5" s="258" t="s">
        <v>282</v>
      </c>
      <c r="P5" s="199" t="s">
        <v>9</v>
      </c>
      <c r="Q5" s="200" t="s">
        <v>17</v>
      </c>
      <c r="R5" s="201" t="s">
        <v>14</v>
      </c>
      <c r="S5" s="187" t="s">
        <v>178</v>
      </c>
      <c r="T5" s="187" t="s">
        <v>179</v>
      </c>
      <c r="U5" s="202" t="s">
        <v>282</v>
      </c>
      <c r="W5" s="185" t="s">
        <v>9</v>
      </c>
      <c r="X5" s="186" t="s">
        <v>17</v>
      </c>
      <c r="Y5" s="187" t="s">
        <v>14</v>
      </c>
      <c r="Z5" s="187" t="s">
        <v>179</v>
      </c>
      <c r="AA5" s="188" t="s">
        <v>282</v>
      </c>
    </row>
    <row r="6" spans="2:27" x14ac:dyDescent="0.35">
      <c r="B6" s="189"/>
      <c r="C6" s="190"/>
      <c r="D6" s="191"/>
      <c r="E6" s="192">
        <v>0.35</v>
      </c>
      <c r="F6" s="192">
        <v>0.44</v>
      </c>
      <c r="G6" s="193">
        <v>0.1</v>
      </c>
      <c r="I6" s="10"/>
      <c r="J6" s="81"/>
      <c r="K6" s="100"/>
      <c r="L6" s="257">
        <v>0.42</v>
      </c>
      <c r="M6" s="257">
        <v>0.5</v>
      </c>
      <c r="N6" s="259">
        <v>0.09</v>
      </c>
      <c r="P6" s="203"/>
      <c r="Q6" s="204"/>
      <c r="R6" s="205"/>
      <c r="S6" s="206">
        <v>0.42</v>
      </c>
      <c r="T6" s="206">
        <v>0.44</v>
      </c>
      <c r="U6" s="211">
        <v>0.09</v>
      </c>
      <c r="W6" s="203"/>
      <c r="X6" s="204"/>
      <c r="Y6" s="205"/>
      <c r="Z6" s="206">
        <v>0.52</v>
      </c>
      <c r="AA6" s="211">
        <v>7.0000000000000007E-2</v>
      </c>
    </row>
    <row r="7" spans="2:27" x14ac:dyDescent="0.35">
      <c r="B7" s="194" t="s">
        <v>11</v>
      </c>
      <c r="C7" s="81"/>
      <c r="D7" s="100"/>
      <c r="E7" s="100"/>
      <c r="F7" s="113"/>
      <c r="G7" s="11"/>
      <c r="I7" s="194" t="s">
        <v>11</v>
      </c>
      <c r="J7" s="81"/>
      <c r="K7" s="100"/>
      <c r="L7" s="100"/>
      <c r="M7" s="113"/>
      <c r="N7" s="11"/>
      <c r="P7" s="194" t="s">
        <v>11</v>
      </c>
      <c r="Q7" s="81"/>
      <c r="R7" s="100"/>
      <c r="S7" s="100"/>
      <c r="T7" s="113"/>
      <c r="U7" s="11"/>
      <c r="W7" s="194" t="s">
        <v>11</v>
      </c>
      <c r="X7" s="81"/>
      <c r="Y7" s="100"/>
      <c r="Z7" s="113"/>
      <c r="AA7" s="11"/>
    </row>
    <row r="8" spans="2:27" x14ac:dyDescent="0.35">
      <c r="B8" s="10" t="s">
        <v>152</v>
      </c>
      <c r="C8" s="114" t="s">
        <v>180</v>
      </c>
      <c r="D8" s="100">
        <v>4620</v>
      </c>
      <c r="E8" s="100">
        <f>D8*0.65</f>
        <v>3003</v>
      </c>
      <c r="F8" s="100">
        <f>E8-(E8*F$6)</f>
        <v>1681.68</v>
      </c>
      <c r="G8" s="84">
        <f>F8-(F8*G$6)</f>
        <v>1513.5120000000002</v>
      </c>
      <c r="I8" s="10" t="s">
        <v>152</v>
      </c>
      <c r="J8" s="114" t="s">
        <v>189</v>
      </c>
      <c r="K8" s="100">
        <v>5586</v>
      </c>
      <c r="L8" s="100">
        <f t="shared" ref="L8:L13" si="0">K8-(K8*L$6)</f>
        <v>3239.88</v>
      </c>
      <c r="M8" s="100">
        <f>K8/2</f>
        <v>2793</v>
      </c>
      <c r="N8" s="84">
        <f t="shared" ref="N8:N13" si="1">M8-(M8*N$6)</f>
        <v>2541.63</v>
      </c>
      <c r="P8" s="10" t="s">
        <v>152</v>
      </c>
      <c r="Q8" s="114" t="s">
        <v>193</v>
      </c>
      <c r="R8" s="100">
        <v>7585</v>
      </c>
      <c r="S8" s="100">
        <f t="shared" ref="S8:S13" si="2">R8-(R8*L$6)</f>
        <v>4399.3</v>
      </c>
      <c r="T8" s="100">
        <f>R8-(R8*(T$6))</f>
        <v>4247.6000000000004</v>
      </c>
      <c r="U8" s="84">
        <f t="shared" ref="U8:U13" si="3">T8-(T8*U$6)</f>
        <v>3865.3160000000003</v>
      </c>
      <c r="W8" s="10" t="s">
        <v>152</v>
      </c>
      <c r="X8" s="114" t="s">
        <v>213</v>
      </c>
      <c r="Y8" s="100">
        <v>7370</v>
      </c>
      <c r="Z8" s="100">
        <f>Y8-(Y8*Z$6)</f>
        <v>3537.6</v>
      </c>
      <c r="AA8" s="84">
        <f>Z8-(Z8*AA$6)</f>
        <v>3289.9679999999998</v>
      </c>
    </row>
    <row r="9" spans="2:27" x14ac:dyDescent="0.35">
      <c r="B9" s="10" t="s">
        <v>181</v>
      </c>
      <c r="C9" s="114">
        <v>841</v>
      </c>
      <c r="D9" s="100">
        <v>4515</v>
      </c>
      <c r="E9" s="100">
        <f t="shared" ref="E9:E17" si="4">D9*0.65</f>
        <v>2934.75</v>
      </c>
      <c r="F9" s="100">
        <f t="shared" ref="F9:G17" si="5">E9-(E9*F$6)</f>
        <v>1643.46</v>
      </c>
      <c r="G9" s="84">
        <f t="shared" si="5"/>
        <v>1479.114</v>
      </c>
      <c r="I9" s="10" t="s">
        <v>181</v>
      </c>
      <c r="J9" s="114" t="s">
        <v>87</v>
      </c>
      <c r="K9" s="100">
        <v>5586</v>
      </c>
      <c r="L9" s="100">
        <f t="shared" si="0"/>
        <v>3239.88</v>
      </c>
      <c r="M9" s="100">
        <f t="shared" ref="M9:M17" si="6">K9/2</f>
        <v>2793</v>
      </c>
      <c r="N9" s="84">
        <f t="shared" si="1"/>
        <v>2541.63</v>
      </c>
      <c r="P9" s="10" t="s">
        <v>181</v>
      </c>
      <c r="Q9" s="114" t="s">
        <v>194</v>
      </c>
      <c r="R9" s="100">
        <v>8052</v>
      </c>
      <c r="S9" s="100">
        <f t="shared" si="2"/>
        <v>4670.16</v>
      </c>
      <c r="T9" s="100">
        <f t="shared" ref="T9:T13" si="7">R9-(R9*(T$6))</f>
        <v>4509.12</v>
      </c>
      <c r="U9" s="84">
        <f t="shared" si="3"/>
        <v>4103.2991999999995</v>
      </c>
      <c r="W9" s="10" t="s">
        <v>181</v>
      </c>
      <c r="X9" s="114" t="s">
        <v>216</v>
      </c>
      <c r="Y9" s="100">
        <v>5984</v>
      </c>
      <c r="Z9" s="100">
        <f>Y9-(Y9*Z$6)</f>
        <v>2872.3199999999997</v>
      </c>
      <c r="AA9" s="84">
        <f t="shared" ref="AA9:AA13" si="8">Z9-(Z9*AA$6)</f>
        <v>2671.2575999999999</v>
      </c>
    </row>
    <row r="10" spans="2:27" x14ac:dyDescent="0.35">
      <c r="B10" s="10" t="s">
        <v>182</v>
      </c>
      <c r="C10" s="114">
        <v>841</v>
      </c>
      <c r="D10" s="100">
        <v>4890</v>
      </c>
      <c r="E10" s="100">
        <f t="shared" si="4"/>
        <v>3178.5</v>
      </c>
      <c r="F10" s="100">
        <f t="shared" si="5"/>
        <v>1779.96</v>
      </c>
      <c r="G10" s="84">
        <f t="shared" si="5"/>
        <v>1601.9639999999999</v>
      </c>
      <c r="I10" s="10" t="s">
        <v>182</v>
      </c>
      <c r="J10" s="114" t="s">
        <v>190</v>
      </c>
      <c r="K10" s="100">
        <v>6009</v>
      </c>
      <c r="L10" s="100">
        <f t="shared" si="0"/>
        <v>3485.2200000000003</v>
      </c>
      <c r="M10" s="100">
        <f t="shared" si="6"/>
        <v>3004.5</v>
      </c>
      <c r="N10" s="84">
        <f t="shared" si="1"/>
        <v>2734.0950000000003</v>
      </c>
      <c r="P10" s="10" t="s">
        <v>182</v>
      </c>
      <c r="Q10" s="114" t="s">
        <v>195</v>
      </c>
      <c r="R10" s="100">
        <v>8233</v>
      </c>
      <c r="S10" s="100">
        <f t="shared" si="2"/>
        <v>4775.1400000000003</v>
      </c>
      <c r="T10" s="100">
        <f t="shared" si="7"/>
        <v>4610.4799999999996</v>
      </c>
      <c r="U10" s="84">
        <f t="shared" si="3"/>
        <v>4195.5367999999999</v>
      </c>
      <c r="W10" s="10" t="s">
        <v>182</v>
      </c>
      <c r="X10" s="114" t="s">
        <v>216</v>
      </c>
      <c r="Y10" s="100">
        <v>6446</v>
      </c>
      <c r="Z10" s="100">
        <f>Y10-(Y10*Z$6)</f>
        <v>3094.08</v>
      </c>
      <c r="AA10" s="84">
        <f t="shared" si="8"/>
        <v>2877.4944</v>
      </c>
    </row>
    <row r="11" spans="2:27" x14ac:dyDescent="0.35">
      <c r="B11" s="10" t="s">
        <v>183</v>
      </c>
      <c r="C11" s="114">
        <v>831</v>
      </c>
      <c r="D11" s="100">
        <v>4185</v>
      </c>
      <c r="E11" s="100">
        <f t="shared" si="4"/>
        <v>2720.25</v>
      </c>
      <c r="F11" s="100">
        <f t="shared" si="5"/>
        <v>1523.34</v>
      </c>
      <c r="G11" s="84">
        <f t="shared" si="5"/>
        <v>1371.0059999999999</v>
      </c>
      <c r="I11" s="10" t="s">
        <v>183</v>
      </c>
      <c r="J11" s="114" t="s">
        <v>190</v>
      </c>
      <c r="K11" s="100">
        <v>5371</v>
      </c>
      <c r="L11" s="100">
        <f t="shared" si="0"/>
        <v>3115.1800000000003</v>
      </c>
      <c r="M11" s="100">
        <f t="shared" si="6"/>
        <v>2685.5</v>
      </c>
      <c r="N11" s="84">
        <f t="shared" si="1"/>
        <v>2443.8049999999998</v>
      </c>
      <c r="P11" s="10" t="s">
        <v>183</v>
      </c>
      <c r="Q11" s="114" t="s">
        <v>196</v>
      </c>
      <c r="R11" s="100">
        <v>7026</v>
      </c>
      <c r="S11" s="100">
        <f t="shared" si="2"/>
        <v>4075.08</v>
      </c>
      <c r="T11" s="100">
        <f t="shared" si="7"/>
        <v>3934.56</v>
      </c>
      <c r="U11" s="84">
        <f t="shared" si="3"/>
        <v>3580.4495999999999</v>
      </c>
      <c r="W11" s="10" t="s">
        <v>183</v>
      </c>
      <c r="X11" s="114" t="s">
        <v>218</v>
      </c>
      <c r="Y11" s="100">
        <v>5742</v>
      </c>
      <c r="Z11" s="100">
        <f>Y11-(Y11*Z$6)</f>
        <v>2756.16</v>
      </c>
      <c r="AA11" s="84">
        <f t="shared" si="8"/>
        <v>2563.2287999999999</v>
      </c>
    </row>
    <row r="12" spans="2:27" x14ac:dyDescent="0.35">
      <c r="B12" s="10" t="s">
        <v>155</v>
      </c>
      <c r="C12" s="114" t="s">
        <v>184</v>
      </c>
      <c r="D12" s="100">
        <v>4730</v>
      </c>
      <c r="E12" s="100">
        <f t="shared" si="4"/>
        <v>3074.5</v>
      </c>
      <c r="F12" s="100">
        <f t="shared" si="5"/>
        <v>1721.72</v>
      </c>
      <c r="G12" s="84">
        <f t="shared" si="5"/>
        <v>1549.548</v>
      </c>
      <c r="I12" s="10" t="s">
        <v>155</v>
      </c>
      <c r="J12" s="114" t="s">
        <v>189</v>
      </c>
      <c r="K12" s="100">
        <v>5586</v>
      </c>
      <c r="L12" s="100">
        <f t="shared" si="0"/>
        <v>3239.88</v>
      </c>
      <c r="M12" s="100">
        <f t="shared" si="6"/>
        <v>2793</v>
      </c>
      <c r="N12" s="84">
        <f t="shared" si="1"/>
        <v>2541.63</v>
      </c>
      <c r="P12" s="10" t="s">
        <v>155</v>
      </c>
      <c r="Q12" s="114" t="s">
        <v>193</v>
      </c>
      <c r="R12" s="100">
        <v>7381</v>
      </c>
      <c r="S12" s="100">
        <f t="shared" si="2"/>
        <v>4280.9799999999996</v>
      </c>
      <c r="T12" s="100">
        <f t="shared" si="7"/>
        <v>4133.3600000000006</v>
      </c>
      <c r="U12" s="84">
        <f t="shared" si="3"/>
        <v>3761.3576000000007</v>
      </c>
      <c r="W12" s="10" t="s">
        <v>155</v>
      </c>
      <c r="X12" s="114" t="s">
        <v>219</v>
      </c>
      <c r="Y12" s="100">
        <v>7238</v>
      </c>
      <c r="Z12" s="100">
        <f>Y12-(Y12*Z$6)</f>
        <v>3474.24</v>
      </c>
      <c r="AA12" s="84">
        <f t="shared" si="8"/>
        <v>3231.0431999999996</v>
      </c>
    </row>
    <row r="13" spans="2:27" x14ac:dyDescent="0.35">
      <c r="B13" s="10" t="s">
        <v>185</v>
      </c>
      <c r="C13" s="114">
        <v>397</v>
      </c>
      <c r="D13" s="100">
        <v>4575</v>
      </c>
      <c r="E13" s="100">
        <f t="shared" si="4"/>
        <v>2973.75</v>
      </c>
      <c r="F13" s="100">
        <f t="shared" si="5"/>
        <v>1665.3</v>
      </c>
      <c r="G13" s="84">
        <f t="shared" si="5"/>
        <v>1498.77</v>
      </c>
      <c r="I13" s="10" t="s">
        <v>185</v>
      </c>
      <c r="J13" s="114" t="s">
        <v>87</v>
      </c>
      <c r="K13" s="100">
        <v>5586</v>
      </c>
      <c r="L13" s="100">
        <f t="shared" si="0"/>
        <v>3239.88</v>
      </c>
      <c r="M13" s="100">
        <f t="shared" si="6"/>
        <v>2793</v>
      </c>
      <c r="N13" s="84">
        <f t="shared" si="1"/>
        <v>2541.63</v>
      </c>
      <c r="P13" s="10" t="s">
        <v>185</v>
      </c>
      <c r="Q13" s="114" t="s">
        <v>194</v>
      </c>
      <c r="R13" s="100">
        <v>8233</v>
      </c>
      <c r="S13" s="100">
        <f t="shared" si="2"/>
        <v>4775.1400000000003</v>
      </c>
      <c r="T13" s="100">
        <f t="shared" si="7"/>
        <v>4610.4799999999996</v>
      </c>
      <c r="U13" s="84">
        <f t="shared" si="3"/>
        <v>4195.5367999999999</v>
      </c>
      <c r="W13" s="10" t="s">
        <v>185</v>
      </c>
      <c r="X13" s="114" t="s">
        <v>216</v>
      </c>
      <c r="Y13" s="100">
        <v>6314</v>
      </c>
      <c r="Z13" s="100">
        <f>Y13-(Y13*Z$6)</f>
        <v>3030.72</v>
      </c>
      <c r="AA13" s="84">
        <f t="shared" si="8"/>
        <v>2818.5695999999998</v>
      </c>
    </row>
    <row r="14" spans="2:27" x14ac:dyDescent="0.35">
      <c r="B14" s="10"/>
      <c r="C14" s="81"/>
      <c r="D14" s="100"/>
      <c r="E14" s="100"/>
      <c r="F14" s="100"/>
      <c r="G14" s="84"/>
      <c r="I14" s="10"/>
      <c r="J14" s="81"/>
      <c r="K14" s="100"/>
      <c r="L14" s="100"/>
      <c r="M14" s="100"/>
      <c r="N14" s="84"/>
      <c r="P14" s="10"/>
      <c r="Q14" s="81"/>
      <c r="R14" s="100"/>
      <c r="S14" s="100"/>
      <c r="T14" s="100"/>
      <c r="U14" s="84"/>
      <c r="W14" s="10"/>
      <c r="X14" s="81"/>
      <c r="Y14" s="100"/>
      <c r="Z14" s="100"/>
      <c r="AA14" s="84"/>
    </row>
    <row r="15" spans="2:27" x14ac:dyDescent="0.35">
      <c r="B15" s="194" t="s">
        <v>12</v>
      </c>
      <c r="C15" s="81"/>
      <c r="D15" s="100"/>
      <c r="E15" s="100"/>
      <c r="F15" s="100"/>
      <c r="G15" s="84"/>
      <c r="I15" s="194" t="s">
        <v>12</v>
      </c>
      <c r="J15" s="81"/>
      <c r="K15" s="100"/>
      <c r="L15" s="100"/>
      <c r="M15" s="100"/>
      <c r="N15" s="84"/>
      <c r="P15" s="194" t="s">
        <v>12</v>
      </c>
      <c r="Q15" s="81"/>
      <c r="R15" s="100"/>
      <c r="S15" s="100"/>
      <c r="T15" s="100"/>
      <c r="U15" s="84"/>
      <c r="W15" s="194" t="s">
        <v>12</v>
      </c>
      <c r="X15" s="81"/>
      <c r="Y15" s="100"/>
      <c r="Z15" s="100"/>
      <c r="AA15" s="84"/>
    </row>
    <row r="16" spans="2:27" x14ac:dyDescent="0.35">
      <c r="B16" s="10" t="s">
        <v>4</v>
      </c>
      <c r="C16" s="81" t="s">
        <v>186</v>
      </c>
      <c r="D16" s="100">
        <v>4110</v>
      </c>
      <c r="E16" s="100">
        <f t="shared" si="4"/>
        <v>2671.5</v>
      </c>
      <c r="F16" s="100">
        <f t="shared" si="5"/>
        <v>1496.04</v>
      </c>
      <c r="G16" s="84">
        <f t="shared" si="5"/>
        <v>1346.4359999999999</v>
      </c>
      <c r="I16" s="10" t="s">
        <v>4</v>
      </c>
      <c r="J16" s="81" t="s">
        <v>191</v>
      </c>
      <c r="K16" s="100">
        <v>5234</v>
      </c>
      <c r="L16" s="100">
        <f>K16-(K16*L$6)</f>
        <v>3035.7200000000003</v>
      </c>
      <c r="M16" s="100">
        <f t="shared" si="6"/>
        <v>2617</v>
      </c>
      <c r="N16" s="84">
        <f>M16-(M16*N$6)</f>
        <v>2381.4699999999998</v>
      </c>
      <c r="P16" s="10" t="s">
        <v>4</v>
      </c>
      <c r="Q16" s="81" t="s">
        <v>197</v>
      </c>
      <c r="R16" s="100">
        <v>7024</v>
      </c>
      <c r="S16" s="100">
        <f>R16-(R16*L$6)</f>
        <v>4073.92</v>
      </c>
      <c r="T16" s="100">
        <f t="shared" ref="T16:T17" si="9">R16-(R16*(T$6))</f>
        <v>3933.44</v>
      </c>
      <c r="U16" s="84">
        <f>T16-(T16*U$6)</f>
        <v>3579.4304000000002</v>
      </c>
      <c r="W16" s="10" t="s">
        <v>4</v>
      </c>
      <c r="X16" s="114" t="s">
        <v>217</v>
      </c>
      <c r="Y16" s="100">
        <v>7238</v>
      </c>
      <c r="Z16" s="100">
        <f>Y16-(Y16*Z$6)</f>
        <v>3474.24</v>
      </c>
      <c r="AA16" s="84">
        <f t="shared" ref="AA16:AA17" si="10">Z16-(Z16*AA$6)</f>
        <v>3231.0431999999996</v>
      </c>
    </row>
    <row r="17" spans="2:27" ht="15" thickBot="1" x14ac:dyDescent="0.4">
      <c r="B17" s="195" t="s">
        <v>8</v>
      </c>
      <c r="C17" s="196" t="s">
        <v>187</v>
      </c>
      <c r="D17" s="197">
        <v>3100</v>
      </c>
      <c r="E17" s="197">
        <f t="shared" si="4"/>
        <v>2015</v>
      </c>
      <c r="F17" s="197">
        <f t="shared" si="5"/>
        <v>1128.4000000000001</v>
      </c>
      <c r="G17" s="198">
        <f t="shared" si="5"/>
        <v>1015.5600000000001</v>
      </c>
      <c r="I17" s="195" t="s">
        <v>8</v>
      </c>
      <c r="J17" s="196" t="s">
        <v>191</v>
      </c>
      <c r="K17" s="197">
        <v>3664</v>
      </c>
      <c r="L17" s="197">
        <f>K17-(K17*L$6)</f>
        <v>2125.12</v>
      </c>
      <c r="M17" s="197">
        <f t="shared" si="6"/>
        <v>1832</v>
      </c>
      <c r="N17" s="198">
        <f>M17-(M17*N$6)</f>
        <v>1667.12</v>
      </c>
      <c r="P17" s="195" t="s">
        <v>8</v>
      </c>
      <c r="Q17" s="196" t="s">
        <v>246</v>
      </c>
      <c r="R17" s="197">
        <v>4959</v>
      </c>
      <c r="S17" s="197">
        <f>R17-(R17*L$6)</f>
        <v>2876.2200000000003</v>
      </c>
      <c r="T17" s="197">
        <f t="shared" si="9"/>
        <v>2777.04</v>
      </c>
      <c r="U17" s="198">
        <f>T17-(T17*U$6)</f>
        <v>2527.1064000000001</v>
      </c>
      <c r="W17" s="195" t="s">
        <v>8</v>
      </c>
      <c r="X17" s="196" t="s">
        <v>220</v>
      </c>
      <c r="Y17" s="197">
        <v>4554</v>
      </c>
      <c r="Z17" s="197">
        <f>Y17-(Y17*Z$6)</f>
        <v>2185.92</v>
      </c>
      <c r="AA17" s="198">
        <f t="shared" si="10"/>
        <v>2032.9056</v>
      </c>
    </row>
    <row r="18" spans="2:27" x14ac:dyDescent="0.35">
      <c r="D18" s="41"/>
      <c r="E18" s="48"/>
      <c r="F18" s="3"/>
      <c r="G18" s="3"/>
      <c r="L18" s="3"/>
      <c r="M18" s="3"/>
      <c r="N18" s="3"/>
    </row>
    <row r="19" spans="2:27" x14ac:dyDescent="0.35">
      <c r="D19" s="48">
        <f>SUM(D8:D17)</f>
        <v>34725</v>
      </c>
      <c r="E19" s="48"/>
      <c r="F19" s="48">
        <f>SUM(F8:F17)</f>
        <v>12639.9</v>
      </c>
      <c r="G19" s="3"/>
      <c r="K19" s="48">
        <f>SUM(K8:K17)</f>
        <v>42622</v>
      </c>
      <c r="L19" s="48">
        <f>SUM(L8:L17)</f>
        <v>24720.760000000002</v>
      </c>
      <c r="M19" s="48">
        <f>SUM(M8:M17)</f>
        <v>21311</v>
      </c>
      <c r="N19" s="3"/>
      <c r="R19" s="48">
        <f>SUM(R8:R17)</f>
        <v>58493</v>
      </c>
      <c r="S19" s="48">
        <f>SUM(S8:S17)</f>
        <v>33925.94</v>
      </c>
      <c r="T19" s="48">
        <f>SUM(T8:T17)</f>
        <v>32756.080000000002</v>
      </c>
      <c r="Y19" s="41">
        <f>SUM(Y8:Y17)</f>
        <v>50886</v>
      </c>
      <c r="Z19" s="48">
        <f>SUM(Z8:Z17)</f>
        <v>24425.279999999999</v>
      </c>
    </row>
    <row r="20" spans="2:27" x14ac:dyDescent="0.35">
      <c r="E20" s="3"/>
      <c r="F20" s="3"/>
      <c r="G20" s="3"/>
    </row>
    <row r="21" spans="2:27" x14ac:dyDescent="0.35">
      <c r="B21" s="81" t="s">
        <v>198</v>
      </c>
      <c r="C21" s="113" t="s">
        <v>199</v>
      </c>
      <c r="D21" s="113" t="s">
        <v>200</v>
      </c>
      <c r="M21" s="3"/>
    </row>
    <row r="22" spans="2:27" x14ac:dyDescent="0.35">
      <c r="B22" s="81" t="s">
        <v>210</v>
      </c>
      <c r="C22" s="100">
        <f>D19</f>
        <v>34725</v>
      </c>
      <c r="D22" s="113">
        <v>100</v>
      </c>
    </row>
    <row r="23" spans="2:27" x14ac:dyDescent="0.35">
      <c r="B23" s="81" t="s">
        <v>211</v>
      </c>
      <c r="C23" s="100">
        <f>R19</f>
        <v>58493</v>
      </c>
      <c r="D23" s="100">
        <f>(C23/C$22)*100</f>
        <v>168.44636429085674</v>
      </c>
    </row>
    <row r="24" spans="2:27" x14ac:dyDescent="0.35">
      <c r="B24" s="81" t="s">
        <v>175</v>
      </c>
      <c r="C24" s="100">
        <f>K19</f>
        <v>42622</v>
      </c>
      <c r="D24" s="100">
        <f t="shared" ref="D24:D25" si="11">(C24/C$22)*100</f>
        <v>122.74154067674586</v>
      </c>
    </row>
    <row r="25" spans="2:27" x14ac:dyDescent="0.35">
      <c r="B25" s="81" t="s">
        <v>214</v>
      </c>
      <c r="C25" s="100">
        <f>Y19</f>
        <v>50886</v>
      </c>
      <c r="D25" s="100">
        <f t="shared" si="11"/>
        <v>146.53995680345574</v>
      </c>
    </row>
    <row r="26" spans="2:27" x14ac:dyDescent="0.35">
      <c r="C26" s="3"/>
      <c r="D26" s="3"/>
    </row>
    <row r="27" spans="2:27" x14ac:dyDescent="0.35">
      <c r="C27" s="3"/>
      <c r="D27" s="3"/>
    </row>
    <row r="28" spans="2:27" x14ac:dyDescent="0.35">
      <c r="B28" s="81" t="s">
        <v>250</v>
      </c>
      <c r="C28" s="113" t="s">
        <v>199</v>
      </c>
      <c r="D28" s="113" t="s">
        <v>200</v>
      </c>
    </row>
    <row r="29" spans="2:27" x14ac:dyDescent="0.35">
      <c r="B29" s="81" t="s">
        <v>210</v>
      </c>
      <c r="C29" s="100">
        <f>F19</f>
        <v>12639.9</v>
      </c>
      <c r="D29" s="113">
        <v>100</v>
      </c>
    </row>
    <row r="30" spans="2:27" x14ac:dyDescent="0.35">
      <c r="B30" s="81" t="s">
        <v>211</v>
      </c>
      <c r="C30" s="100">
        <f>T19</f>
        <v>32756.080000000002</v>
      </c>
      <c r="D30" s="100">
        <f>(C30/C$29)*100</f>
        <v>259.14825275516426</v>
      </c>
    </row>
    <row r="31" spans="2:27" x14ac:dyDescent="0.35">
      <c r="B31" s="81" t="s">
        <v>175</v>
      </c>
      <c r="C31" s="100">
        <f>M19</f>
        <v>21311</v>
      </c>
      <c r="D31" s="100">
        <f t="shared" ref="D31:D32" si="12">(C31/C$29)*100</f>
        <v>168.60101741311243</v>
      </c>
    </row>
    <row r="32" spans="2:27" x14ac:dyDescent="0.35">
      <c r="B32" s="81" t="s">
        <v>214</v>
      </c>
      <c r="C32" s="100">
        <f>Z19</f>
        <v>24425.279999999999</v>
      </c>
      <c r="D32" s="100">
        <f t="shared" si="12"/>
        <v>193.23950347708447</v>
      </c>
    </row>
    <row r="49" spans="5:7" x14ac:dyDescent="0.35">
      <c r="E49" s="3"/>
      <c r="F49" s="3"/>
      <c r="G49" s="3"/>
    </row>
    <row r="50" spans="5:7" x14ac:dyDescent="0.35">
      <c r="E50" s="3"/>
      <c r="F50" s="3"/>
      <c r="G5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5</vt:i4>
      </vt:variant>
    </vt:vector>
  </HeadingPairs>
  <TitlesOfParts>
    <vt:vector size="11" baseType="lpstr">
      <vt:lpstr>LØNNSOMHET, nye</vt:lpstr>
      <vt:lpstr>Lønnsomhet, regum</vt:lpstr>
      <vt:lpstr>Bonuser</vt:lpstr>
      <vt:lpstr>Rabatter</vt:lpstr>
      <vt:lpstr>Datablad nye</vt:lpstr>
      <vt:lpstr>Datablad regum</vt:lpstr>
      <vt:lpstr>Bonuser!Utskriftsområde</vt:lpstr>
      <vt:lpstr>'Datablad nye'!Utskriftsområde</vt:lpstr>
      <vt:lpstr>'LØNNSOMHET, nye'!Utskriftsområde</vt:lpstr>
      <vt:lpstr>'Lønnsomhet, regum'!Utskriftsområde</vt:lpstr>
      <vt:lpstr>Rabatter!Utskriftsområde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Geir Holmberg</cp:lastModifiedBy>
  <cp:lastPrinted>2025-04-02T05:49:42Z</cp:lastPrinted>
  <dcterms:created xsi:type="dcterms:W3CDTF">2013-12-18T12:22:47Z</dcterms:created>
  <dcterms:modified xsi:type="dcterms:W3CDTF">2025-04-02T10:48:20Z</dcterms:modified>
</cp:coreProperties>
</file>