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Alle Geirs filer\Lønnsomhetsberegninger\"/>
    </mc:Choice>
  </mc:AlternateContent>
  <xr:revisionPtr revIDLastSave="0" documentId="13_ncr:1_{2DAAEFA0-8C31-4743-A148-C60FB4BCCE9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ammenligning VINTER" sheetId="2" r:id="rId1"/>
    <sheet name="Preordretilbud vinter 25" sheetId="7" r:id="rId2"/>
    <sheet name="BONUSTABELLER" sheetId="6" r:id="rId3"/>
    <sheet name="Datablad VINTER- IKKE RØR" sheetId="1" r:id="rId4"/>
  </sheets>
  <definedNames>
    <definedName name="_xlnm.Print_Area" localSheetId="2">BONUSTABELLER!$A$1:$H$77</definedName>
    <definedName name="_xlnm.Print_Area" localSheetId="1">'Preordretilbud vinter 25'!$A$1:$S$38</definedName>
    <definedName name="_xlnm.Print_Area" localSheetId="0">'Sammenligning VINTER'!$B$1:$T$28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V37" i="1"/>
  <c r="V36" i="1"/>
  <c r="V21" i="1"/>
  <c r="V20" i="1"/>
  <c r="V17" i="1"/>
  <c r="V8" i="1"/>
  <c r="V7" i="1"/>
  <c r="V6" i="1"/>
  <c r="W37" i="1"/>
  <c r="W36" i="1"/>
  <c r="W21" i="1"/>
  <c r="W20" i="1"/>
  <c r="W17" i="1"/>
  <c r="W8" i="1"/>
  <c r="W7" i="1"/>
  <c r="W6" i="1"/>
  <c r="N29" i="7" l="1"/>
  <c r="N28" i="7"/>
  <c r="H1" i="7"/>
  <c r="I11" i="7" l="1"/>
  <c r="I10" i="7"/>
  <c r="I9" i="7"/>
  <c r="AN38" i="1" l="1"/>
  <c r="B48" i="1" s="1"/>
  <c r="C48" i="1" s="1"/>
  <c r="AO28" i="1"/>
  <c r="AO27" i="1"/>
  <c r="AO26" i="1"/>
  <c r="AO25" i="1"/>
  <c r="AO19" i="1"/>
  <c r="AO18" i="1"/>
  <c r="AO15" i="1"/>
  <c r="AO14" i="1"/>
  <c r="AO13" i="1"/>
  <c r="AO12" i="1"/>
  <c r="AO11" i="1"/>
  <c r="AO10" i="1"/>
  <c r="AO9" i="1"/>
  <c r="AO7" i="1"/>
  <c r="B32" i="6"/>
  <c r="B33" i="6" s="1"/>
  <c r="B34" i="6" s="1"/>
  <c r="B35" i="6" s="1"/>
  <c r="B36" i="6" s="1"/>
  <c r="AO38" i="1" l="1"/>
  <c r="B58" i="1" s="1"/>
  <c r="AH38" i="1" l="1"/>
  <c r="B47" i="1" s="1"/>
  <c r="AI37" i="1"/>
  <c r="AI36" i="1"/>
  <c r="AI34" i="1"/>
  <c r="AI33" i="1"/>
  <c r="AI31" i="1"/>
  <c r="AI30" i="1"/>
  <c r="AI29" i="1"/>
  <c r="AI28" i="1"/>
  <c r="AI27" i="1"/>
  <c r="AI26" i="1"/>
  <c r="AI25" i="1"/>
  <c r="AI24" i="1"/>
  <c r="AI23" i="1"/>
  <c r="AI21" i="1"/>
  <c r="AI20" i="1"/>
  <c r="AI19" i="1"/>
  <c r="AI18" i="1"/>
  <c r="AI17" i="1"/>
  <c r="AI15" i="1"/>
  <c r="AI14" i="1"/>
  <c r="AI13" i="1"/>
  <c r="AI12" i="1"/>
  <c r="AI11" i="1"/>
  <c r="AI10" i="1"/>
  <c r="AI9" i="1"/>
  <c r="AI8" i="1"/>
  <c r="AI7" i="1"/>
  <c r="AI6" i="1"/>
  <c r="I8" i="7" l="1"/>
  <c r="Q17" i="1" l="1"/>
  <c r="AC37" i="1"/>
  <c r="AC36" i="1"/>
  <c r="I27" i="7" l="1"/>
  <c r="N10" i="7"/>
  <c r="N9" i="7"/>
  <c r="AC8" i="1"/>
  <c r="BE31" i="2" l="1"/>
  <c r="E11" i="2" l="1"/>
  <c r="BB23" i="2"/>
  <c r="N23" i="2"/>
  <c r="I23" i="2"/>
  <c r="AV23" i="2" s="1"/>
  <c r="BB21" i="2"/>
  <c r="N21" i="2"/>
  <c r="AV21" i="2"/>
  <c r="BB19" i="2"/>
  <c r="N19" i="2"/>
  <c r="I19" i="2"/>
  <c r="AV19" i="2" s="1"/>
  <c r="BB17" i="2"/>
  <c r="N17" i="2"/>
  <c r="I17" i="2"/>
  <c r="AV17" i="2" s="1"/>
  <c r="BB15" i="2"/>
  <c r="N15" i="2"/>
  <c r="I15" i="2"/>
  <c r="AV15" i="2" s="1"/>
  <c r="BB13" i="2"/>
  <c r="N13" i="2"/>
  <c r="I13" i="2"/>
  <c r="AV13" i="2" s="1"/>
  <c r="N11" i="2"/>
  <c r="I11" i="2"/>
  <c r="AV11" i="2" s="1"/>
  <c r="AY11" i="2" l="1"/>
  <c r="AY23" i="2"/>
  <c r="AY17" i="2"/>
  <c r="AY21" i="2"/>
  <c r="AY15" i="2"/>
  <c r="AY13" i="2"/>
  <c r="AY19" i="2"/>
  <c r="D27" i="7" l="1"/>
  <c r="D29" i="7" l="1"/>
  <c r="D28" i="7"/>
  <c r="D10" i="7"/>
  <c r="D9" i="7"/>
  <c r="AU21" i="2" l="1"/>
  <c r="AI38" i="1"/>
  <c r="B57" i="1" s="1"/>
  <c r="AW21" i="2" l="1"/>
  <c r="AZ21" i="2"/>
  <c r="W34" i="1" l="1"/>
  <c r="W33" i="1"/>
  <c r="W31" i="1"/>
  <c r="W30" i="1"/>
  <c r="W29" i="1"/>
  <c r="W28" i="1"/>
  <c r="W27" i="1"/>
  <c r="W26" i="1"/>
  <c r="W25" i="1"/>
  <c r="W24" i="1"/>
  <c r="W23" i="1"/>
  <c r="W19" i="1"/>
  <c r="W18" i="1"/>
  <c r="W15" i="1"/>
  <c r="W14" i="1"/>
  <c r="W13" i="1"/>
  <c r="W12" i="1"/>
  <c r="W11" i="1"/>
  <c r="W10" i="1"/>
  <c r="W9" i="1"/>
  <c r="Q37" i="1" l="1"/>
  <c r="Q36" i="1"/>
  <c r="Q34" i="1"/>
  <c r="Q33" i="1"/>
  <c r="Q31" i="1"/>
  <c r="Q30" i="1"/>
  <c r="Q29" i="1"/>
  <c r="Q28" i="1"/>
  <c r="Q27" i="1"/>
  <c r="Q26" i="1"/>
  <c r="Q25" i="1"/>
  <c r="Q24" i="1"/>
  <c r="Q23" i="1"/>
  <c r="Q21" i="1"/>
  <c r="Q20" i="1"/>
  <c r="Q19" i="1"/>
  <c r="Q18" i="1"/>
  <c r="Q15" i="1"/>
  <c r="Q14" i="1"/>
  <c r="Q13" i="1"/>
  <c r="Q12" i="1"/>
  <c r="Q11" i="1"/>
  <c r="Q10" i="1"/>
  <c r="Q9" i="1"/>
  <c r="Q8" i="1"/>
  <c r="Q7" i="1"/>
  <c r="Q6" i="1"/>
  <c r="AC34" i="1" l="1"/>
  <c r="AC33" i="1"/>
  <c r="AC31" i="1"/>
  <c r="AC30" i="1"/>
  <c r="AC29" i="1"/>
  <c r="AC28" i="1"/>
  <c r="AC27" i="1"/>
  <c r="AC26" i="1"/>
  <c r="AC25" i="1"/>
  <c r="AC24" i="1"/>
  <c r="AC23" i="1"/>
  <c r="AC21" i="1"/>
  <c r="AC20" i="1"/>
  <c r="AC19" i="1"/>
  <c r="AC18" i="1"/>
  <c r="AC17" i="1"/>
  <c r="AC15" i="1"/>
  <c r="AC14" i="1"/>
  <c r="AC13" i="1"/>
  <c r="AC12" i="1"/>
  <c r="AC11" i="1"/>
  <c r="AC10" i="1"/>
  <c r="AC9" i="1"/>
  <c r="AC7" i="1"/>
  <c r="AC6" i="1"/>
  <c r="AC38" i="1" l="1"/>
  <c r="M37" i="1" l="1"/>
  <c r="M36" i="1"/>
  <c r="M34" i="1"/>
  <c r="M33" i="1"/>
  <c r="M31" i="1"/>
  <c r="M30" i="1"/>
  <c r="M29" i="1"/>
  <c r="M28" i="1"/>
  <c r="M27" i="1"/>
  <c r="M26" i="1"/>
  <c r="M25" i="1"/>
  <c r="M24" i="1"/>
  <c r="M23" i="1"/>
  <c r="M21" i="1"/>
  <c r="M20" i="1"/>
  <c r="M19" i="1"/>
  <c r="M18" i="1"/>
  <c r="M17" i="1"/>
  <c r="M15" i="1"/>
  <c r="M14" i="1"/>
  <c r="M13" i="1"/>
  <c r="M12" i="1"/>
  <c r="M11" i="1"/>
  <c r="M10" i="1"/>
  <c r="M9" i="1"/>
  <c r="M8" i="1"/>
  <c r="M7" i="1"/>
  <c r="M6" i="1"/>
  <c r="I37" i="1" l="1"/>
  <c r="I36" i="1"/>
  <c r="I34" i="1"/>
  <c r="I33" i="1"/>
  <c r="I31" i="1"/>
  <c r="I30" i="1"/>
  <c r="I29" i="1"/>
  <c r="I28" i="1"/>
  <c r="I27" i="1"/>
  <c r="I26" i="1"/>
  <c r="I25" i="1"/>
  <c r="I24" i="1"/>
  <c r="I23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E37" i="1"/>
  <c r="E36" i="1"/>
  <c r="E34" i="1"/>
  <c r="E33" i="1"/>
  <c r="E31" i="1"/>
  <c r="E30" i="1"/>
  <c r="E29" i="1"/>
  <c r="E28" i="1"/>
  <c r="AP28" i="1" s="1"/>
  <c r="E27" i="1"/>
  <c r="AP27" i="1" s="1"/>
  <c r="E26" i="1"/>
  <c r="AP26" i="1" s="1"/>
  <c r="E25" i="1"/>
  <c r="AP25" i="1" s="1"/>
  <c r="E24" i="1"/>
  <c r="E23" i="1"/>
  <c r="E21" i="1"/>
  <c r="E20" i="1"/>
  <c r="E19" i="1"/>
  <c r="E18" i="1"/>
  <c r="E17" i="1"/>
  <c r="E15" i="1"/>
  <c r="AP15" i="1" s="1"/>
  <c r="E14" i="1"/>
  <c r="E13" i="1"/>
  <c r="AP13" i="1" s="1"/>
  <c r="E12" i="1"/>
  <c r="E11" i="1"/>
  <c r="AP11" i="1" s="1"/>
  <c r="E10" i="1"/>
  <c r="AP10" i="1" s="1"/>
  <c r="E9" i="1"/>
  <c r="E8" i="1"/>
  <c r="E7" i="1"/>
  <c r="AP7" i="1" s="1"/>
  <c r="E6" i="1"/>
  <c r="N6" i="1" l="1"/>
  <c r="N19" i="1"/>
  <c r="AP19" i="1"/>
  <c r="X36" i="1"/>
  <c r="N37" i="1"/>
  <c r="N18" i="1"/>
  <c r="AP18" i="1"/>
  <c r="N17" i="1"/>
  <c r="N9" i="1"/>
  <c r="AP9" i="1"/>
  <c r="N12" i="1"/>
  <c r="AP12" i="1"/>
  <c r="N14" i="1"/>
  <c r="AP14" i="1"/>
  <c r="N8" i="1"/>
  <c r="X8" i="1"/>
  <c r="N21" i="1"/>
  <c r="X21" i="1"/>
  <c r="N29" i="1"/>
  <c r="N34" i="1"/>
  <c r="N31" i="1"/>
  <c r="N33" i="1"/>
  <c r="N28" i="1"/>
  <c r="J28" i="1"/>
  <c r="J15" i="1"/>
  <c r="J29" i="1"/>
  <c r="J17" i="1"/>
  <c r="J30" i="1"/>
  <c r="J19" i="1"/>
  <c r="J6" i="1"/>
  <c r="J18" i="1"/>
  <c r="J31" i="1"/>
  <c r="J33" i="1"/>
  <c r="AJ7" i="1"/>
  <c r="X7" i="1"/>
  <c r="R7" i="1"/>
  <c r="AD7" i="1"/>
  <c r="AD8" i="1"/>
  <c r="AJ8" i="1"/>
  <c r="R8" i="1"/>
  <c r="F37" i="1"/>
  <c r="AD37" i="1"/>
  <c r="AJ37" i="1"/>
  <c r="X37" i="1"/>
  <c r="R37" i="1"/>
  <c r="AJ10" i="1"/>
  <c r="X10" i="1"/>
  <c r="R10" i="1"/>
  <c r="AD10" i="1"/>
  <c r="AJ11" i="1"/>
  <c r="X11" i="1"/>
  <c r="R11" i="1"/>
  <c r="AD11" i="1"/>
  <c r="AJ25" i="1"/>
  <c r="X25" i="1"/>
  <c r="R25" i="1"/>
  <c r="AD25" i="1"/>
  <c r="AJ26" i="1"/>
  <c r="X26" i="1"/>
  <c r="R26" i="1"/>
  <c r="AD26" i="1"/>
  <c r="AJ34" i="1"/>
  <c r="X34" i="1"/>
  <c r="R34" i="1"/>
  <c r="AD34" i="1"/>
  <c r="AJ23" i="1"/>
  <c r="X23" i="1"/>
  <c r="R23" i="1"/>
  <c r="AD23" i="1"/>
  <c r="J8" i="1"/>
  <c r="AJ20" i="1"/>
  <c r="X20" i="1"/>
  <c r="R20" i="1"/>
  <c r="AD20" i="1"/>
  <c r="AD36" i="1"/>
  <c r="AJ36" i="1"/>
  <c r="R36" i="1"/>
  <c r="AJ24" i="1"/>
  <c r="X24" i="1"/>
  <c r="R24" i="1"/>
  <c r="AD24" i="1"/>
  <c r="J7" i="1"/>
  <c r="J20" i="1"/>
  <c r="N26" i="1"/>
  <c r="AJ13" i="1"/>
  <c r="X13" i="1"/>
  <c r="R13" i="1"/>
  <c r="AD13" i="1"/>
  <c r="J21" i="1"/>
  <c r="AJ14" i="1"/>
  <c r="X14" i="1"/>
  <c r="R14" i="1"/>
  <c r="AD14" i="1"/>
  <c r="J23" i="1"/>
  <c r="AJ29" i="1"/>
  <c r="X29" i="1"/>
  <c r="R29" i="1"/>
  <c r="AD29" i="1"/>
  <c r="N36" i="1"/>
  <c r="AJ30" i="1"/>
  <c r="X30" i="1"/>
  <c r="R30" i="1"/>
  <c r="AD30" i="1"/>
  <c r="AJ9" i="1"/>
  <c r="X9" i="1"/>
  <c r="R9" i="1"/>
  <c r="AD9" i="1"/>
  <c r="AJ12" i="1"/>
  <c r="X12" i="1"/>
  <c r="R12" i="1"/>
  <c r="AD12" i="1"/>
  <c r="J9" i="1"/>
  <c r="N20" i="1"/>
  <c r="AJ28" i="1"/>
  <c r="X28" i="1"/>
  <c r="R28" i="1"/>
  <c r="AD28" i="1"/>
  <c r="J37" i="1"/>
  <c r="AJ15" i="1"/>
  <c r="X15" i="1"/>
  <c r="R15" i="1"/>
  <c r="AD15" i="1"/>
  <c r="J24" i="1"/>
  <c r="N15" i="1"/>
  <c r="J12" i="1"/>
  <c r="N11" i="1"/>
  <c r="AJ31" i="1"/>
  <c r="X31" i="1"/>
  <c r="R31" i="1"/>
  <c r="AD31" i="1"/>
  <c r="J26" i="1"/>
  <c r="N10" i="1"/>
  <c r="N30" i="1"/>
  <c r="AJ21" i="1"/>
  <c r="R21" i="1"/>
  <c r="AD21" i="1"/>
  <c r="N7" i="1"/>
  <c r="J34" i="1"/>
  <c r="AJ27" i="1"/>
  <c r="X27" i="1"/>
  <c r="R27" i="1"/>
  <c r="AD27" i="1"/>
  <c r="J36" i="1"/>
  <c r="N24" i="1"/>
  <c r="J10" i="1"/>
  <c r="J11" i="1"/>
  <c r="N25" i="1"/>
  <c r="AJ17" i="1"/>
  <c r="X17" i="1"/>
  <c r="R17" i="1"/>
  <c r="AD17" i="1"/>
  <c r="J25" i="1"/>
  <c r="AJ18" i="1"/>
  <c r="X18" i="1"/>
  <c r="R18" i="1"/>
  <c r="AD18" i="1"/>
  <c r="J13" i="1"/>
  <c r="AJ6" i="1"/>
  <c r="X6" i="1"/>
  <c r="R6" i="1"/>
  <c r="AD6" i="1"/>
  <c r="AJ19" i="1"/>
  <c r="X19" i="1"/>
  <c r="R19" i="1"/>
  <c r="AD19" i="1"/>
  <c r="AJ33" i="1"/>
  <c r="X33" i="1"/>
  <c r="R33" i="1"/>
  <c r="AD33" i="1"/>
  <c r="J14" i="1"/>
  <c r="J27" i="1"/>
  <c r="N23" i="1"/>
  <c r="N27" i="1"/>
  <c r="N13" i="1"/>
  <c r="B56" i="1"/>
  <c r="AB38" i="1"/>
  <c r="B46" i="1" s="1"/>
  <c r="AU15" i="2" l="1"/>
  <c r="AW15" i="2" l="1"/>
  <c r="AZ15" i="2"/>
  <c r="Q38" i="1"/>
  <c r="B54" i="1" s="1"/>
  <c r="L38" i="1" l="1"/>
  <c r="B43" i="1" s="1"/>
  <c r="AU13" i="2" l="1"/>
  <c r="V38" i="1"/>
  <c r="B45" i="1" s="1"/>
  <c r="P38" i="1"/>
  <c r="B44" i="1" s="1"/>
  <c r="H38" i="1"/>
  <c r="B42" i="1" l="1"/>
  <c r="AU23" i="2"/>
  <c r="AW13" i="2"/>
  <c r="AZ13" i="2"/>
  <c r="AU17" i="2"/>
  <c r="I38" i="1"/>
  <c r="B52" i="1" s="1"/>
  <c r="AW23" i="2" l="1"/>
  <c r="AZ23" i="2"/>
  <c r="AU19" i="2"/>
  <c r="AW17" i="2"/>
  <c r="AZ17" i="2"/>
  <c r="W38" i="1"/>
  <c r="B55" i="1" s="1"/>
  <c r="AW19" i="2" l="1"/>
  <c r="AZ19" i="2"/>
  <c r="M38" i="1"/>
  <c r="B53" i="1" s="1"/>
  <c r="E38" i="1" l="1"/>
  <c r="B51" i="1" s="1"/>
  <c r="D38" i="1"/>
  <c r="B41" i="1" s="1"/>
  <c r="C57" i="1" l="1"/>
  <c r="C56" i="1"/>
  <c r="C54" i="1"/>
  <c r="C52" i="1"/>
  <c r="C55" i="1"/>
  <c r="AU11" i="2"/>
  <c r="C47" i="1"/>
  <c r="E21" i="2" s="1"/>
  <c r="C46" i="1"/>
  <c r="E15" i="2" s="1"/>
  <c r="C43" i="1"/>
  <c r="E13" i="2" s="1"/>
  <c r="C44" i="1"/>
  <c r="E23" i="2" s="1"/>
  <c r="C45" i="1"/>
  <c r="E17" i="2" s="1"/>
  <c r="C42" i="1"/>
  <c r="E19" i="2" s="1"/>
  <c r="C53" i="1"/>
  <c r="AW11" i="2" l="1"/>
  <c r="AZ11" i="2"/>
  <c r="BC11" i="2" l="1"/>
  <c r="BA21" i="2"/>
  <c r="O21" i="2"/>
  <c r="BA15" i="2"/>
  <c r="O15" i="2"/>
  <c r="O13" i="2"/>
  <c r="BA13" i="2"/>
  <c r="O23" i="2"/>
  <c r="O17" i="2"/>
  <c r="BA23" i="2"/>
  <c r="BA17" i="2"/>
  <c r="O19" i="2"/>
  <c r="BA19" i="2"/>
  <c r="AX21" i="2"/>
  <c r="J21" i="2" s="1"/>
  <c r="AX15" i="2"/>
  <c r="J15" i="2" s="1"/>
  <c r="AX13" i="2"/>
  <c r="J13" i="2" s="1"/>
  <c r="AX17" i="2"/>
  <c r="J17" i="2" s="1"/>
  <c r="AX23" i="2"/>
  <c r="J23" i="2" s="1"/>
  <c r="AX19" i="2"/>
  <c r="J19" i="2" s="1"/>
  <c r="BC19" i="2" l="1"/>
  <c r="BD19" i="2" s="1"/>
  <c r="BC15" i="2"/>
  <c r="BD15" i="2" s="1"/>
  <c r="BD11" i="2"/>
  <c r="BC13" i="2"/>
  <c r="BD13" i="2" s="1"/>
  <c r="BC23" i="2"/>
  <c r="BD23" i="2" s="1"/>
  <c r="BC17" i="2"/>
  <c r="BD17" i="2" s="1"/>
  <c r="BC21" i="2"/>
  <c r="BD21" i="2" s="1"/>
  <c r="BE21" i="2" l="1"/>
  <c r="R21" i="2" s="1"/>
  <c r="BE17" i="2"/>
  <c r="R17" i="2" s="1"/>
  <c r="BE23" i="2"/>
  <c r="R23" i="2" s="1"/>
  <c r="BE13" i="2"/>
  <c r="R13" i="2" s="1"/>
  <c r="BE15" i="2"/>
  <c r="R15" i="2" s="1"/>
  <c r="BE19" i="2"/>
  <c r="R19" i="2" s="1"/>
</calcChain>
</file>

<file path=xl/sharedStrings.xml><?xml version="1.0" encoding="utf-8"?>
<sst xmlns="http://schemas.openxmlformats.org/spreadsheetml/2006/main" count="748" uniqueCount="397">
  <si>
    <t xml:space="preserve"> </t>
  </si>
  <si>
    <t>NOKIAN</t>
  </si>
  <si>
    <t>GOODYEAR</t>
  </si>
  <si>
    <t>YOKOHAMA</t>
  </si>
  <si>
    <t>185/60R15 UG ICE ARCTIC  88TXL</t>
  </si>
  <si>
    <t>185/65R14 UG ICE ARCTIC  86T</t>
  </si>
  <si>
    <t>185/65R15 UG ICE ARCTIC  88T</t>
  </si>
  <si>
    <t>195/65R15 UG ICE ARCTIC  95TXL</t>
  </si>
  <si>
    <t>Rabatt</t>
  </si>
  <si>
    <t>Dekk type</t>
  </si>
  <si>
    <t>Gruppe</t>
  </si>
  <si>
    <t>Piggdekk</t>
  </si>
  <si>
    <t>Piggfritt</t>
  </si>
  <si>
    <t>Prisliste</t>
  </si>
  <si>
    <t>Fakturanetto</t>
  </si>
  <si>
    <t>Continental</t>
  </si>
  <si>
    <t>Goodyear</t>
  </si>
  <si>
    <t>Nokian</t>
  </si>
  <si>
    <t>Yokohama</t>
  </si>
  <si>
    <t>Utpris</t>
  </si>
  <si>
    <t>NetNet</t>
  </si>
  <si>
    <t>Bridgestone</t>
  </si>
  <si>
    <t>BRIDGESTONE</t>
  </si>
  <si>
    <t>Nivå</t>
  </si>
  <si>
    <t>Merke</t>
  </si>
  <si>
    <t>Nettonivå</t>
  </si>
  <si>
    <t>=TOTAL</t>
  </si>
  <si>
    <t>SELL-OUT</t>
  </si>
  <si>
    <t xml:space="preserve">   Sammenligning av listepriser, fakturanetto og netnet</t>
  </si>
  <si>
    <t>Listepris</t>
  </si>
  <si>
    <t>NIVÅ</t>
  </si>
  <si>
    <t>Basis</t>
  </si>
  <si>
    <t>rabatt</t>
  </si>
  <si>
    <t>Forhandler</t>
  </si>
  <si>
    <t>Netto kjøp over 500'</t>
  </si>
  <si>
    <t>Netto kjøp over 2 mill</t>
  </si>
  <si>
    <t>Netto kjøp over 3 mill</t>
  </si>
  <si>
    <t>Netto kjøp over 5 mill</t>
  </si>
  <si>
    <t>Netto kjøp over 1 mill</t>
  </si>
  <si>
    <t>Volum</t>
  </si>
  <si>
    <t>Tillegg</t>
  </si>
  <si>
    <t>TOTAL</t>
  </si>
  <si>
    <t xml:space="preserve">            Continental</t>
  </si>
  <si>
    <t xml:space="preserve">                    Goodyear</t>
  </si>
  <si>
    <t xml:space="preserve">                   Nokian</t>
  </si>
  <si>
    <t>500 dekk</t>
  </si>
  <si>
    <t>Continental, max preordre:</t>
  </si>
  <si>
    <t>Nokian, max preordre:</t>
  </si>
  <si>
    <t>200 dekk</t>
  </si>
  <si>
    <t>Netto kjøp over 50'</t>
  </si>
  <si>
    <t>Netto kjøp over 250'</t>
  </si>
  <si>
    <t>Netto kjøp over 750'</t>
  </si>
  <si>
    <t>Netto kjøp over 1 mill.</t>
  </si>
  <si>
    <t>Piggfritt, varebil</t>
  </si>
  <si>
    <t>Piggdekk, varebil</t>
  </si>
  <si>
    <t>175/65R14 UG ICE 2 86T XL</t>
  </si>
  <si>
    <t>185/60R15 UG ICE 2 88T XL</t>
  </si>
  <si>
    <t>195/65R15 UG ICE 2 95T XL</t>
  </si>
  <si>
    <t>215/55R16 UG ICE 2 97T XL, FP</t>
  </si>
  <si>
    <t>215/70R16 Ice Arctic SUV 100T</t>
  </si>
  <si>
    <t>195/70R15C Cargo UG 104/102 Stud</t>
  </si>
  <si>
    <t>205/65R16C Cargo UG 107/105 Stud</t>
  </si>
  <si>
    <t>Piggdekk SUV</t>
  </si>
  <si>
    <t>MAX BONUS</t>
  </si>
  <si>
    <t>PÅ NETTO</t>
  </si>
  <si>
    <t>Netto kjøp over 50.000</t>
  </si>
  <si>
    <t>KJEDEVOLUMBONUS</t>
  </si>
  <si>
    <t>75.000 dekk på kjeden</t>
  </si>
  <si>
    <t>30.000 dekk på kjeden</t>
  </si>
  <si>
    <t>35.000 dekk på kjeden</t>
  </si>
  <si>
    <t>Netto kjøp over 75'</t>
  </si>
  <si>
    <t>40.000 dekk på kjeden</t>
  </si>
  <si>
    <t>175/65R14</t>
  </si>
  <si>
    <t>185/60R15</t>
  </si>
  <si>
    <t>185/65R14</t>
  </si>
  <si>
    <t>185/65R15</t>
  </si>
  <si>
    <t>195/65R15</t>
  </si>
  <si>
    <t>205/55R16</t>
  </si>
  <si>
    <t>205/60R16</t>
  </si>
  <si>
    <t>215/65R16</t>
  </si>
  <si>
    <t>225/50R17</t>
  </si>
  <si>
    <t>225/55R17</t>
  </si>
  <si>
    <t>215/70R16</t>
  </si>
  <si>
    <t>225/65R17</t>
  </si>
  <si>
    <t>235/60R18</t>
  </si>
  <si>
    <t>255/55R18</t>
  </si>
  <si>
    <t>275/40R20</t>
  </si>
  <si>
    <t>215/55R16</t>
  </si>
  <si>
    <t>215/60R16</t>
  </si>
  <si>
    <t>195/70R15C</t>
  </si>
  <si>
    <t>205/65R16C</t>
  </si>
  <si>
    <t>Dim</t>
  </si>
  <si>
    <t>Mønster</t>
  </si>
  <si>
    <t>175/65R14 UG ICE ARCTIC  86T</t>
  </si>
  <si>
    <t>Michelin</t>
  </si>
  <si>
    <t xml:space="preserve">      Continental</t>
  </si>
  <si>
    <t>Netto kjøp over 200'</t>
  </si>
  <si>
    <t>Alle som har tatt preordre 500 dekk</t>
  </si>
  <si>
    <t>185/60R15 MICHELIN X-Ice North 4  88TXL</t>
  </si>
  <si>
    <t>195/65R15 MICHELIN X-Ice North 4  95TXL</t>
  </si>
  <si>
    <t>205/55R16 MICHELIN X-Ice North 4  94TXL</t>
  </si>
  <si>
    <t>225/55R17 MICHELIN X-Ice North 4  101TXL</t>
  </si>
  <si>
    <t>175/65R14 82T TL ContiVikingContact 7</t>
  </si>
  <si>
    <t>185/60R15 88T TL XL ContiVikingContact 7</t>
  </si>
  <si>
    <t>195/70R15 104/102R Van Contact Viking</t>
  </si>
  <si>
    <t>205/65R16 107/105R Van Contact Viking</t>
  </si>
  <si>
    <t>175/65R-14 86T YOKOHAMA ICE GUARD 65 PIGG</t>
  </si>
  <si>
    <t>185/60R-15 88T YOKOHAMA ICE GUARD 65 PIGG</t>
  </si>
  <si>
    <t>185/65R-14 90T YOKOHAMA ICE GUARD 65 PIGG</t>
  </si>
  <si>
    <t>185/65R-15 92T YOKOHAMA ICE GUARD 65 PIGG</t>
  </si>
  <si>
    <t>195/65R-15 95T YOKOHAMA ICE GUARD 65 PIGG</t>
  </si>
  <si>
    <t>205/60R-16 96T YOKOHAMA ICE GUARD 65 PIGG</t>
  </si>
  <si>
    <t>215/65R-16 102T YOKOHAMA ICE GUARD 65 PIGG</t>
  </si>
  <si>
    <t>225/55R-17 101T YOKOHAMA ICE GUARD 65 PIGG</t>
  </si>
  <si>
    <t>225/65R-17 106TIce Guard IG65</t>
  </si>
  <si>
    <t>235/60R-18 107T Ice Guard IG65</t>
  </si>
  <si>
    <t>255/55R-18 109T Ice Guard IG65</t>
  </si>
  <si>
    <t>275/40R-20 106T Ice Guard IG65</t>
  </si>
  <si>
    <t>175/65R-14 82Q YOKOHAMA ICE GUARD 60</t>
  </si>
  <si>
    <t>215/55R-16 93Q YOKOHAMA ICE GUARD 60</t>
  </si>
  <si>
    <t>70.000 dekk på kjeden</t>
  </si>
  <si>
    <t>80.000 dekk på kjeden</t>
  </si>
  <si>
    <t>85.000 dekk på kjeden</t>
  </si>
  <si>
    <t>205/55R-16 94T YOKOHAMA ICE GUARD 65 PIGG</t>
  </si>
  <si>
    <t>195/70R15C Agilis Alpin</t>
  </si>
  <si>
    <t>205/65R16C Agilis Alpin</t>
  </si>
  <si>
    <t>Netto kjøp over 1,5 mill.</t>
  </si>
  <si>
    <t>60.000 dekk på kjeden</t>
  </si>
  <si>
    <t>MAX BONUS*</t>
  </si>
  <si>
    <t>Netto kjøp over 1,5 mill</t>
  </si>
  <si>
    <t>Nokian Hakkapeliitta 10</t>
  </si>
  <si>
    <t>Nokian Hakkapeliitta 10 SUV</t>
  </si>
  <si>
    <t>215/65R16 MICHELIN X-Ice North 4  102T</t>
  </si>
  <si>
    <t>48 dekk</t>
  </si>
  <si>
    <t>HANKOOK</t>
  </si>
  <si>
    <t>Hankook, max preordre:</t>
  </si>
  <si>
    <t>W429 Winter i*Pike RS2</t>
  </si>
  <si>
    <t>W429 A Winter i*Pike RS2</t>
  </si>
  <si>
    <t>RW11 i*Pike</t>
  </si>
  <si>
    <t>W616 Winter i*cept iZ2</t>
  </si>
  <si>
    <t>Hankook</t>
  </si>
  <si>
    <t>LISTEPRISER</t>
  </si>
  <si>
    <t>NETTOPRISER</t>
  </si>
  <si>
    <t>65.000 dekk på kjeden</t>
  </si>
  <si>
    <t>NOK 20 per dekk</t>
  </si>
  <si>
    <t>45.000 dekk på kjeden</t>
  </si>
  <si>
    <t>50.000 dekk på kjeden</t>
  </si>
  <si>
    <t>55.000 dekk på kjeden</t>
  </si>
  <si>
    <t xml:space="preserve">Bridgestone, max preordre: </t>
  </si>
  <si>
    <t>Supplering</t>
  </si>
  <si>
    <t>HANKOOK (NDI)</t>
  </si>
  <si>
    <t>Supplering:</t>
  </si>
  <si>
    <t>Nokian*</t>
  </si>
  <si>
    <t>Michelin og BF*</t>
  </si>
  <si>
    <t>195/70R15 104/102R Vanco Contact Ice</t>
  </si>
  <si>
    <t>205/65R16 107/105R Vanco Contact Ice</t>
  </si>
  <si>
    <t>RW12 Winter I*cept LV Piggfritt</t>
  </si>
  <si>
    <t>RW09 Winter pigg</t>
  </si>
  <si>
    <t>&gt;48 dekk</t>
  </si>
  <si>
    <t>225/50R17 101T YOKOHAMA ICE GUARD 65 PIGG</t>
  </si>
  <si>
    <t>215/70R-16 100T Ice Guard IG65</t>
  </si>
  <si>
    <t>205/55R-16 91H YOKOHAMA ICE GUARD 53</t>
  </si>
  <si>
    <t>205/60R-16 96H YOKOHAMA ICE GUARD 53</t>
  </si>
  <si>
    <t>225/55R-17 97H YOKOHAMA ICE GUARD 53</t>
  </si>
  <si>
    <t>Alle som har tatt preordre 200 dekk</t>
  </si>
  <si>
    <t>Preorder</t>
  </si>
  <si>
    <t>Fakturanet</t>
  </si>
  <si>
    <t>EGEN bonus</t>
  </si>
  <si>
    <t>Kjedebonus</t>
  </si>
  <si>
    <t>Total rabatt</t>
  </si>
  <si>
    <t>Netnet</t>
  </si>
  <si>
    <t>extra</t>
  </si>
  <si>
    <t>per merke</t>
  </si>
  <si>
    <t>KRONEBIDRAG nivå</t>
  </si>
  <si>
    <t>Fakturarabatt</t>
  </si>
  <si>
    <t>alt ink</t>
  </si>
  <si>
    <t>nivå</t>
  </si>
  <si>
    <t>Utpriser</t>
  </si>
  <si>
    <t>DEKNINGSBIDRAG</t>
  </si>
  <si>
    <t>Conti x faktor</t>
  </si>
  <si>
    <t>KRONER</t>
  </si>
  <si>
    <t>preordre</t>
  </si>
  <si>
    <t>Kjedevolumbonus LIK årets volum</t>
  </si>
  <si>
    <t xml:space="preserve">                             28 dimensjoner, preorderpriser</t>
  </si>
  <si>
    <t>Utgått, estimert pris</t>
  </si>
  <si>
    <t>Nokian Hakkapeliitta R5</t>
  </si>
  <si>
    <t>Nokian Hakkapeliitta CR4</t>
  </si>
  <si>
    <t>Nokian Hakkapeliitta C4</t>
  </si>
  <si>
    <t>Listepris 28 dim</t>
  </si>
  <si>
    <t>28 dim</t>
  </si>
  <si>
    <t>Conti 35% DB</t>
  </si>
  <si>
    <t>50-149 dekk</t>
  </si>
  <si>
    <t>150-749 dekk</t>
  </si>
  <si>
    <t>Mer enn 750 dekk: Kontakt distriktsansvarlig</t>
  </si>
  <si>
    <t>50 dekk</t>
  </si>
  <si>
    <t>100 dekk</t>
  </si>
  <si>
    <t xml:space="preserve">175/65R14 86T TL XL ContiIceContact 3 </t>
  </si>
  <si>
    <t xml:space="preserve">185/60R15 88T TL XL ContiIceContact 3 </t>
  </si>
  <si>
    <t xml:space="preserve">185/65R14 90T TL XL ContiIceContact 3 </t>
  </si>
  <si>
    <t xml:space="preserve">185/65R15 92T TL XL ContiIceContact 3 </t>
  </si>
  <si>
    <t xml:space="preserve">195/65R15 95T TL XL ContiIceContact 3 </t>
  </si>
  <si>
    <t xml:space="preserve">205/55R16 94T TL XL ContiIceContact 3 </t>
  </si>
  <si>
    <t xml:space="preserve">205/60R16 96T TL XL ContiIceContact 3 </t>
  </si>
  <si>
    <t>215/65R16 102T TL XL ContiIceContact 3</t>
  </si>
  <si>
    <t>225/50R17 98T TL XL ContiIceContact 3</t>
  </si>
  <si>
    <t>215/70R16 100T TL ContiIceContact 3</t>
  </si>
  <si>
    <t>225/65R17 106T TL ContiIceContact 3</t>
  </si>
  <si>
    <t>235/60R18 107T TL XL ContiIceContact 3</t>
  </si>
  <si>
    <t>255/55R18 109T TL XL ContiIceContact 3</t>
  </si>
  <si>
    <t>275/40R20 106T TL XL FR ContiIceContact 3</t>
  </si>
  <si>
    <t xml:space="preserve">185/65R15 UG ICE 3 88T </t>
  </si>
  <si>
    <t>205/55R16 UG ICE 3 94T XL, FP</t>
  </si>
  <si>
    <t>205/60R16 UG ICE 3 96T XL, FP</t>
  </si>
  <si>
    <t>195/70R15C Cargo UG 104/102 Ice</t>
  </si>
  <si>
    <t>205/65R16C 107/105 T Cargo UG Ice</t>
  </si>
  <si>
    <t>185/60R-15 84Q YOKOHAMA ICE GUARD 53</t>
  </si>
  <si>
    <t>185/65R-15 88Q YOKOHAMA ICE GUARD 53</t>
  </si>
  <si>
    <t>195/65R-15 91Q YOKOHAMA ICE GUARD 53</t>
  </si>
  <si>
    <t>215/60R-16 95Q YOKOHAMA ICE GUARD 53</t>
  </si>
  <si>
    <t>SPIKE 3</t>
  </si>
  <si>
    <t>Blizzak Ice</t>
  </si>
  <si>
    <t>NORVAN- UTGÅENDE REST</t>
  </si>
  <si>
    <t>175/65 R14 86T TL XL STBL</t>
  </si>
  <si>
    <t>185/60 R15 88T TL XL STBL</t>
  </si>
  <si>
    <t>185/65 R14 90T TL XL STBL</t>
  </si>
  <si>
    <t>185/65 R15 92T TL XL STBL</t>
  </si>
  <si>
    <t>195/65 R15 95T TL XL STBL</t>
  </si>
  <si>
    <t>205/55 R16 94T TL XL STBL</t>
  </si>
  <si>
    <t>205/60 R16 96T TL XL STBL</t>
  </si>
  <si>
    <t>215/65 R16 102 T XL STBL</t>
  </si>
  <si>
    <t>225/50R17 98T TL STBL</t>
  </si>
  <si>
    <t>225/55 R17 101T TL XL STB</t>
  </si>
  <si>
    <t/>
  </si>
  <si>
    <t>215/70 R16 SUV 100T TL ST</t>
  </si>
  <si>
    <t>225/65 R17 SUV 106T TL XL</t>
  </si>
  <si>
    <t>235/60 R18 SUV 107T TL XL</t>
  </si>
  <si>
    <t>255/55 R18</t>
  </si>
  <si>
    <t>275/40 R20</t>
  </si>
  <si>
    <t>175/65 R14 Ice 86T TL XL</t>
  </si>
  <si>
    <t>185/60 R15 Ice 88T TL XL</t>
  </si>
  <si>
    <t>185/65 R15 Ice 92T TL XL</t>
  </si>
  <si>
    <t>195/65 R15 Ice 91T TL</t>
  </si>
  <si>
    <t>205/55 R16 Ice 94T TL XL</t>
  </si>
  <si>
    <t>205/60 R16 Ice 96T TL XL</t>
  </si>
  <si>
    <t>215/55 R16 Ice 97T TL XL</t>
  </si>
  <si>
    <t>215/60 R16 Ice 99T TL XL</t>
  </si>
  <si>
    <t>225/55 R17 Ice 101T TL XL</t>
  </si>
  <si>
    <t>195/70R15C W995</t>
  </si>
  <si>
    <t>205/65R16C W995</t>
  </si>
  <si>
    <t>195/70R15C pigg</t>
  </si>
  <si>
    <t>205/65R16C pigg</t>
  </si>
  <si>
    <t>Dimensjon</t>
  </si>
  <si>
    <t>175/65R14 MICHELIN X-Ice North 2  86T</t>
  </si>
  <si>
    <t>185/65R14 MICHELIN X-Ice North 3  86T</t>
  </si>
  <si>
    <t>185/65R15 MICHELIN X-Ice North 4  88T</t>
  </si>
  <si>
    <t>205/60R16 MICHELIN X-Ice North 4  96TXL</t>
  </si>
  <si>
    <t>225/50R17 MICHELIN X-Ice North 4  98T</t>
  </si>
  <si>
    <t>215/70R-16 100Q MICHELIN X-Ice North 4 SUV</t>
  </si>
  <si>
    <t>225/65R-17 102Q MICHELIN X-Ice North 4 SUV</t>
  </si>
  <si>
    <t>235/60R-18 107Q MICHELIN X-Ice North 4 SUV</t>
  </si>
  <si>
    <t>255/55R-18 109Q MICHELIN X-Ice North 4 SUV</t>
  </si>
  <si>
    <t>275/40R-20 106Q MICHELIN X-Ice North 4 SUV</t>
  </si>
  <si>
    <t>175/65R-14 86T MICHELIN X-Ice XI 3</t>
  </si>
  <si>
    <t>185/60R-15 88H MICHELIN X-Ice SNOW</t>
  </si>
  <si>
    <t>185/65R-15 92T MICHELIN X-Ice SNOW</t>
  </si>
  <si>
    <t>195/65R-15 95T MICHELIN X-Ice SNOW</t>
  </si>
  <si>
    <t>205/55R-16 94H MICHELIN X-Ice SNOW</t>
  </si>
  <si>
    <t>205/60R-16 96H MICHELIN X-Ice SNOW</t>
  </si>
  <si>
    <t>215/55R-16 97H MICHELIN X-Ice SNOW</t>
  </si>
  <si>
    <t>215/60R-16 99H MICHELIN X-Ice SNOW</t>
  </si>
  <si>
    <t>225/55R-17 101H MICHELIN X-Ice SNOW</t>
  </si>
  <si>
    <t>195/70R15C Agilis X-Ice North</t>
  </si>
  <si>
    <t>205/65R16C Agilis X-Ice north</t>
  </si>
  <si>
    <t xml:space="preserve">          Bridgestone og Firestone</t>
  </si>
  <si>
    <t>ESTIMERT</t>
  </si>
  <si>
    <t>NOK 1 mill kjøp fra hver lev.</t>
  </si>
  <si>
    <t>&gt;200 dekk</t>
  </si>
  <si>
    <t>&gt;  450 dekk</t>
  </si>
  <si>
    <t>Starco, max preordre egne merker:</t>
  </si>
  <si>
    <t>750 dekk +</t>
  </si>
  <si>
    <t>Samme rabatt på supplering som preordre</t>
  </si>
  <si>
    <t>Bridgestone*</t>
  </si>
  <si>
    <t>Goodyear og Dunlop*</t>
  </si>
  <si>
    <t>Netto kjøp 0-50.000</t>
  </si>
  <si>
    <t>Netto kjøp 50.000-100.000</t>
  </si>
  <si>
    <t>Netto kjøp 100.000-250.000</t>
  </si>
  <si>
    <t>Netto kjøp 250.000-500.000</t>
  </si>
  <si>
    <t>Netto kjøp 500.000-750.000</t>
  </si>
  <si>
    <t>Netto kjøp 750.000-1 mill</t>
  </si>
  <si>
    <t>Netto kjøp 1-1,5 mill</t>
  </si>
  <si>
    <t>Netto kjøp 1,5-2 mill</t>
  </si>
  <si>
    <t>Totalt varekjøp på kjeden 30 mill</t>
  </si>
  <si>
    <t>MAX BONUS, ink garantibonusen NOK 20</t>
  </si>
  <si>
    <t>* Kommer bonusoverskudd i tillegg</t>
  </si>
  <si>
    <t>SAVA og Fulda*</t>
  </si>
  <si>
    <t>NDI- Hankook*</t>
  </si>
  <si>
    <t>Netto kjøp 0-500'</t>
  </si>
  <si>
    <t>Netto kjøp 500' - 700'</t>
  </si>
  <si>
    <t>Netto kjøp 700' - 800'</t>
  </si>
  <si>
    <t>Netto kjøp 800' - 900'</t>
  </si>
  <si>
    <t>Netto kjøp 900' - 1.100'</t>
  </si>
  <si>
    <t>Nett kjøp over 1 mill</t>
  </si>
  <si>
    <t>Netto kjøp 1.100' - 1.400'</t>
  </si>
  <si>
    <t>Netto kjøp 1.400' - 1.600'</t>
  </si>
  <si>
    <t>Netto kjøp over 1.600'</t>
  </si>
  <si>
    <t>Totalt varekjøp på kjeden 105 mill</t>
  </si>
  <si>
    <t>225/55R17 101T TL XL ContiIceContact 3</t>
  </si>
  <si>
    <t>185/65R15 92T TL XL ContiVikingContact 8</t>
  </si>
  <si>
    <t>195/65R15 95T TL XL ContiVikingContact 8</t>
  </si>
  <si>
    <t>205/55R16 94T TL XL ContiVikingContact 8</t>
  </si>
  <si>
    <t>205/60R16 96T TL XL ContiVikingContact 8</t>
  </si>
  <si>
    <t>215/55R16 97T TL XL ContiVikingContact 8</t>
  </si>
  <si>
    <t>215/60R16 99T TL XL ContiVikingContact 8</t>
  </si>
  <si>
    <t>225/55R17 101T TL XL ContiVikingContact 8</t>
  </si>
  <si>
    <t>Michelin, max preordre</t>
  </si>
  <si>
    <t>Yokohama (Starco)</t>
  </si>
  <si>
    <t>205/55R16 UG ICE ARCTIC 2  94TXL, FP</t>
  </si>
  <si>
    <t>205/60R16 UG ICE ARCTIC 2  96TXL</t>
  </si>
  <si>
    <t>215/65R16 UG ICE ARCTIC 2  98T</t>
  </si>
  <si>
    <t>225/50R17 UG ICE ARCTIC 2  98T</t>
  </si>
  <si>
    <t>225/55R17 UG ICE ARCTIC 2  101TXL</t>
  </si>
  <si>
    <t>225/65R17 Ice ARCTIC 2 SUV 102T</t>
  </si>
  <si>
    <t>235/60R18 Ice ARCTIC 2 SUV 107TXL</t>
  </si>
  <si>
    <t>255/55R18 Ice ARCTIC 2 SUV 109TXL</t>
  </si>
  <si>
    <t>275/40R20 Ice ARCTIC 2 SUV 106T</t>
  </si>
  <si>
    <t>215/60R16 UG ICE 3 99T XL</t>
  </si>
  <si>
    <t>225/55R17 UG ICE3 101T</t>
  </si>
  <si>
    <t>Rabatt:</t>
  </si>
  <si>
    <t>-</t>
  </si>
  <si>
    <t>NORANZA 001- UTGÅTT</t>
  </si>
  <si>
    <t>Blizzak 6</t>
  </si>
  <si>
    <t>Duravis vinter</t>
  </si>
  <si>
    <t>NORVAN- UTGÅTT</t>
  </si>
  <si>
    <t>Antall= SUM av ALLE merker</t>
  </si>
  <si>
    <t>Supplering max</t>
  </si>
  <si>
    <t>PREORDRETILBUD, Vinter 2025</t>
  </si>
  <si>
    <t>BONUSTABELLER 2025, person- og varebildekk</t>
  </si>
  <si>
    <t>* Kommer bonusoverskudd i tillegg- var 0,4% i 2024</t>
  </si>
  <si>
    <t>* Kommer bonusoverskudd i tillegg- var 1,3% i 2024</t>
  </si>
  <si>
    <t>* Kommer bonusoverskudd i tillegg- var 1% i 2024</t>
  </si>
  <si>
    <t>Oppdatert 2025</t>
  </si>
  <si>
    <t>Continental*</t>
  </si>
  <si>
    <t>* Kommer bonusoverskudd i tillegg i 2025</t>
  </si>
  <si>
    <t>Starco*- Yokohama, Pirelli mm</t>
  </si>
  <si>
    <t>Garantibonus, NOK 20/dekk, utgjør 2%</t>
  </si>
  <si>
    <t xml:space="preserve">* Kommer bonusoverskudd i tillegg </t>
  </si>
  <si>
    <t>Point S Summer*</t>
  </si>
  <si>
    <t>1-150 dekk</t>
  </si>
  <si>
    <t>151-300 dekk</t>
  </si>
  <si>
    <t>301-500 dekk</t>
  </si>
  <si>
    <t>500-750 dekk</t>
  </si>
  <si>
    <t>750-1000 dekk</t>
  </si>
  <si>
    <t>Over 1000 dekk</t>
  </si>
  <si>
    <t>FORTUNE</t>
  </si>
  <si>
    <t>Fortune</t>
  </si>
  <si>
    <t>100 dekk, NOK 20 per dekk</t>
  </si>
  <si>
    <t>250 dekk, NOK 30 per dekk</t>
  </si>
  <si>
    <t>500 dekk, NOK 50 per dekk</t>
  </si>
  <si>
    <t>1.000 dekk, NOK 70 per dekk</t>
  </si>
  <si>
    <t>KRONESTØTTE</t>
  </si>
  <si>
    <t>Ca. tall</t>
  </si>
  <si>
    <t>Goodyear, max preordre, ca:</t>
  </si>
  <si>
    <t xml:space="preserve">Økningen fra 42% til 44% gjelder etter avtale på de 15-20 største ordrene </t>
  </si>
  <si>
    <t>400 dekk</t>
  </si>
  <si>
    <t>SPIKE 3- UTGÅTT 2025</t>
  </si>
  <si>
    <t>SPIKE 3 - UTGÅTT 2025</t>
  </si>
  <si>
    <t>SPIKE 3 - UGÅTT 2025</t>
  </si>
  <si>
    <t>POLARO ICE  86T</t>
  </si>
  <si>
    <t>POLARO ICE  88TXL</t>
  </si>
  <si>
    <t>POLARO ICE  88T</t>
  </si>
  <si>
    <t>POLARO ICE  95TXL</t>
  </si>
  <si>
    <t>POLARO ICE 2  94TXL</t>
  </si>
  <si>
    <t>POLARO ICE 2  96TXL</t>
  </si>
  <si>
    <t>POLARO ICE 2  98T</t>
  </si>
  <si>
    <t>POLARO ICE 2  101TXL</t>
  </si>
  <si>
    <t>POLARO ICE 100T</t>
  </si>
  <si>
    <t>POLARO ICE102T</t>
  </si>
  <si>
    <t>POLARO ICE107TXL</t>
  </si>
  <si>
    <t>POLARO ICE109TXL</t>
  </si>
  <si>
    <t>POLARO ICE106T</t>
  </si>
  <si>
    <t>POLARO SNOW 2 86T XL</t>
  </si>
  <si>
    <t>POLARO SNOW 2 88T XL</t>
  </si>
  <si>
    <t>POLARO SNOW 3 88T</t>
  </si>
  <si>
    <t>POLARO SNOW 2 95T XL</t>
  </si>
  <si>
    <t>POLARO SNOW 3 94T XL</t>
  </si>
  <si>
    <t>POLARO SNOW 3 96T XL</t>
  </si>
  <si>
    <t>POLARO SNOW 2 97T XL</t>
  </si>
  <si>
    <t>POLARO SNOW 3 99T XL</t>
  </si>
  <si>
    <t>POLARO SNOW3 101T</t>
  </si>
  <si>
    <t>Begrenset antall dimensjoner:</t>
  </si>
  <si>
    <t>Begrenset utvalg</t>
  </si>
  <si>
    <t>Supplering lik preordrerabatt</t>
  </si>
  <si>
    <t>195/70R15C Kumho Winter PorTran CW 11 pigg</t>
  </si>
  <si>
    <t>205/65R16C Kumho Winter Portran CW 11 pigg</t>
  </si>
  <si>
    <t>195/70R15C Yokohama Winterdrive WY-01 104R</t>
  </si>
  <si>
    <t>205/65R16C Yokohama Winterdrive WY-01 107T</t>
  </si>
  <si>
    <t>Total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</si>
</sst>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\ %"/>
    <numFmt numFmtId="168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</cellStyleXfs>
  <cellXfs count="204">
    <xf numFmtId="0" fontId="0" fillId="0" borderId="0" xfId="0"/>
    <xf numFmtId="0" fontId="4" fillId="0" borderId="1" xfId="0" applyFont="1" applyBorder="1"/>
    <xf numFmtId="10" fontId="4" fillId="0" borderId="1" xfId="0" applyNumberFormat="1" applyFont="1" applyBorder="1"/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/>
    <xf numFmtId="165" fontId="0" fillId="0" borderId="5" xfId="1" applyNumberFormat="1" applyFont="1" applyBorder="1"/>
    <xf numFmtId="0" fontId="3" fillId="0" borderId="5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0" fontId="9" fillId="5" borderId="5" xfId="0" applyFont="1" applyFill="1" applyBorder="1"/>
    <xf numFmtId="0" fontId="10" fillId="8" borderId="5" xfId="0" applyFont="1" applyFill="1" applyBorder="1"/>
    <xf numFmtId="0" fontId="11" fillId="6" borderId="6" xfId="0" applyFont="1" applyFill="1" applyBorder="1"/>
    <xf numFmtId="0" fontId="2" fillId="6" borderId="7" xfId="0" applyFont="1" applyFill="1" applyBorder="1"/>
    <xf numFmtId="0" fontId="2" fillId="6" borderId="10" xfId="0" applyFont="1" applyFill="1" applyBorder="1"/>
    <xf numFmtId="0" fontId="9" fillId="6" borderId="5" xfId="0" applyFont="1" applyFill="1" applyBorder="1"/>
    <xf numFmtId="166" fontId="9" fillId="9" borderId="5" xfId="0" applyNumberFormat="1" applyFont="1" applyFill="1" applyBorder="1" applyAlignment="1">
      <alignment horizontal="center"/>
    </xf>
    <xf numFmtId="0" fontId="11" fillId="6" borderId="9" xfId="0" applyFont="1" applyFill="1" applyBorder="1"/>
    <xf numFmtId="165" fontId="0" fillId="0" borderId="5" xfId="1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12" fillId="3" borderId="5" xfId="0" applyFont="1" applyFill="1" applyBorder="1"/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9" fillId="5" borderId="14" xfId="0" applyFont="1" applyFill="1" applyBorder="1"/>
    <xf numFmtId="0" fontId="9" fillId="5" borderId="15" xfId="0" applyFont="1" applyFill="1" applyBorder="1"/>
    <xf numFmtId="0" fontId="10" fillId="8" borderId="14" xfId="0" applyFont="1" applyFill="1" applyBorder="1"/>
    <xf numFmtId="0" fontId="10" fillId="8" borderId="15" xfId="0" applyFont="1" applyFill="1" applyBorder="1"/>
    <xf numFmtId="0" fontId="9" fillId="6" borderId="14" xfId="0" applyFont="1" applyFill="1" applyBorder="1"/>
    <xf numFmtId="0" fontId="9" fillId="6" borderId="15" xfId="0" applyFont="1" applyFill="1" applyBorder="1"/>
    <xf numFmtId="0" fontId="14" fillId="0" borderId="0" xfId="0" applyFont="1"/>
    <xf numFmtId="0" fontId="9" fillId="6" borderId="16" xfId="0" applyFont="1" applyFill="1" applyBorder="1"/>
    <xf numFmtId="0" fontId="9" fillId="5" borderId="16" xfId="0" applyFont="1" applyFill="1" applyBorder="1"/>
    <xf numFmtId="0" fontId="10" fillId="8" borderId="16" xfId="0" applyFont="1" applyFill="1" applyBorder="1"/>
    <xf numFmtId="0" fontId="15" fillId="0" borderId="5" xfId="0" applyFont="1" applyBorder="1"/>
    <xf numFmtId="0" fontId="16" fillId="5" borderId="14" xfId="0" applyFont="1" applyFill="1" applyBorder="1"/>
    <xf numFmtId="0" fontId="16" fillId="5" borderId="16" xfId="0" applyFont="1" applyFill="1" applyBorder="1"/>
    <xf numFmtId="0" fontId="18" fillId="8" borderId="14" xfId="0" applyFont="1" applyFill="1" applyBorder="1"/>
    <xf numFmtId="0" fontId="18" fillId="8" borderId="16" xfId="0" applyFont="1" applyFill="1" applyBorder="1"/>
    <xf numFmtId="0" fontId="16" fillId="6" borderId="14" xfId="0" applyFont="1" applyFill="1" applyBorder="1"/>
    <xf numFmtId="0" fontId="16" fillId="6" borderId="16" xfId="0" applyFont="1" applyFill="1" applyBorder="1"/>
    <xf numFmtId="0" fontId="0" fillId="5" borderId="0" xfId="0" applyFill="1"/>
    <xf numFmtId="0" fontId="0" fillId="0" borderId="17" xfId="0" applyBorder="1"/>
    <xf numFmtId="0" fontId="0" fillId="0" borderId="18" xfId="0" applyBorder="1"/>
    <xf numFmtId="0" fontId="0" fillId="0" borderId="19" xfId="0" applyBorder="1"/>
    <xf numFmtId="10" fontId="0" fillId="0" borderId="2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11" fillId="7" borderId="6" xfId="0" applyFont="1" applyFill="1" applyBorder="1"/>
    <xf numFmtId="0" fontId="11" fillId="7" borderId="8" xfId="0" applyFont="1" applyFill="1" applyBorder="1"/>
    <xf numFmtId="0" fontId="3" fillId="9" borderId="17" xfId="0" applyFont="1" applyFill="1" applyBorder="1"/>
    <xf numFmtId="0" fontId="0" fillId="9" borderId="18" xfId="0" applyFill="1" applyBorder="1" applyAlignment="1">
      <alignment horizontal="center"/>
    </xf>
    <xf numFmtId="0" fontId="3" fillId="0" borderId="21" xfId="0" applyFont="1" applyBorder="1"/>
    <xf numFmtId="10" fontId="3" fillId="0" borderId="22" xfId="0" applyNumberFormat="1" applyFont="1" applyBorder="1" applyAlignment="1">
      <alignment horizontal="center"/>
    </xf>
    <xf numFmtId="0" fontId="12" fillId="3" borderId="6" xfId="0" applyFont="1" applyFill="1" applyBorder="1"/>
    <xf numFmtId="0" fontId="12" fillId="3" borderId="8" xfId="0" applyFont="1" applyFill="1" applyBorder="1"/>
    <xf numFmtId="0" fontId="0" fillId="0" borderId="23" xfId="0" applyBorder="1"/>
    <xf numFmtId="0" fontId="0" fillId="0" borderId="24" xfId="0" applyBorder="1"/>
    <xf numFmtId="3" fontId="0" fillId="0" borderId="5" xfId="0" applyNumberFormat="1" applyBorder="1" applyAlignment="1">
      <alignment horizontal="center"/>
    </xf>
    <xf numFmtId="0" fontId="9" fillId="2" borderId="15" xfId="0" applyFont="1" applyFill="1" applyBorder="1"/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6" xfId="0" applyBorder="1"/>
    <xf numFmtId="0" fontId="0" fillId="0" borderId="8" xfId="0" applyBorder="1"/>
    <xf numFmtId="167" fontId="16" fillId="6" borderId="15" xfId="0" applyNumberFormat="1" applyFont="1" applyFill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0" fontId="3" fillId="0" borderId="14" xfId="0" quotePrefix="1" applyFont="1" applyBorder="1"/>
    <xf numFmtId="0" fontId="3" fillId="0" borderId="15" xfId="0" applyFont="1" applyBorder="1"/>
    <xf numFmtId="0" fontId="3" fillId="0" borderId="25" xfId="0" applyFont="1" applyBorder="1"/>
    <xf numFmtId="10" fontId="3" fillId="0" borderId="26" xfId="0" applyNumberFormat="1" applyFont="1" applyBorder="1" applyAlignment="1">
      <alignment horizontal="center"/>
    </xf>
    <xf numFmtId="0" fontId="9" fillId="2" borderId="14" xfId="0" applyFont="1" applyFill="1" applyBorder="1"/>
    <xf numFmtId="0" fontId="11" fillId="3" borderId="27" xfId="0" applyFont="1" applyFill="1" applyBorder="1"/>
    <xf numFmtId="0" fontId="21" fillId="3" borderId="28" xfId="0" applyFont="1" applyFill="1" applyBorder="1"/>
    <xf numFmtId="9" fontId="0" fillId="0" borderId="20" xfId="0" applyNumberForma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0" fontId="23" fillId="0" borderId="1" xfId="0" applyFont="1" applyBorder="1"/>
    <xf numFmtId="10" fontId="23" fillId="0" borderId="1" xfId="0" applyNumberFormat="1" applyFont="1" applyBorder="1"/>
    <xf numFmtId="0" fontId="3" fillId="0" borderId="5" xfId="0" applyFont="1" applyBorder="1"/>
    <xf numFmtId="10" fontId="3" fillId="0" borderId="5" xfId="0" applyNumberFormat="1" applyFont="1" applyBorder="1" applyAlignment="1">
      <alignment horizontal="center"/>
    </xf>
    <xf numFmtId="0" fontId="24" fillId="0" borderId="0" xfId="0" applyFont="1"/>
    <xf numFmtId="0" fontId="11" fillId="7" borderId="0" xfId="0" applyFont="1" applyFill="1"/>
    <xf numFmtId="0" fontId="12" fillId="3" borderId="0" xfId="0" applyFont="1" applyFill="1"/>
    <xf numFmtId="10" fontId="0" fillId="0" borderId="5" xfId="0" quotePrefix="1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7" fillId="0" borderId="0" xfId="0" applyFont="1"/>
    <xf numFmtId="167" fontId="18" fillId="8" borderId="15" xfId="0" applyNumberFormat="1" applyFont="1" applyFill="1" applyBorder="1" applyAlignment="1">
      <alignment horizontal="center"/>
    </xf>
    <xf numFmtId="0" fontId="19" fillId="7" borderId="0" xfId="0" applyFont="1" applyFill="1"/>
    <xf numFmtId="167" fontId="19" fillId="7" borderId="0" xfId="0" applyNumberFormat="1" applyFont="1" applyFill="1" applyAlignment="1">
      <alignment horizontal="center"/>
    </xf>
    <xf numFmtId="0" fontId="20" fillId="3" borderId="0" xfId="0" applyFont="1" applyFill="1"/>
    <xf numFmtId="10" fontId="20" fillId="3" borderId="0" xfId="0" applyNumberFormat="1" applyFont="1" applyFill="1" applyAlignment="1">
      <alignment horizontal="center"/>
    </xf>
    <xf numFmtId="9" fontId="19" fillId="7" borderId="0" xfId="0" applyNumberFormat="1" applyFont="1" applyFill="1" applyAlignment="1">
      <alignment horizontal="center"/>
    </xf>
    <xf numFmtId="0" fontId="11" fillId="6" borderId="14" xfId="0" applyFont="1" applyFill="1" applyBorder="1"/>
    <xf numFmtId="0" fontId="26" fillId="0" borderId="5" xfId="0" applyFont="1" applyBorder="1" applyAlignment="1">
      <alignment vertical="center" wrapText="1"/>
    </xf>
    <xf numFmtId="10" fontId="26" fillId="5" borderId="5" xfId="0" applyNumberFormat="1" applyFont="1" applyFill="1" applyBorder="1" applyAlignment="1">
      <alignment horizontal="center" vertical="center" wrapText="1"/>
    </xf>
    <xf numFmtId="0" fontId="16" fillId="6" borderId="9" xfId="0" applyFont="1" applyFill="1" applyBorder="1"/>
    <xf numFmtId="0" fontId="16" fillId="6" borderId="10" xfId="0" applyFont="1" applyFill="1" applyBorder="1"/>
    <xf numFmtId="9" fontId="0" fillId="0" borderId="5" xfId="0" quotePrefix="1" applyNumberFormat="1" applyBorder="1" applyAlignment="1">
      <alignment horizontal="center"/>
    </xf>
    <xf numFmtId="0" fontId="11" fillId="3" borderId="14" xfId="0" applyFont="1" applyFill="1" applyBorder="1"/>
    <xf numFmtId="0" fontId="11" fillId="3" borderId="16" xfId="0" applyFont="1" applyFill="1" applyBorder="1"/>
    <xf numFmtId="0" fontId="11" fillId="3" borderId="15" xfId="0" applyFont="1" applyFill="1" applyBorder="1"/>
    <xf numFmtId="9" fontId="18" fillId="8" borderId="14" xfId="0" applyNumberFormat="1" applyFont="1" applyFill="1" applyBorder="1" applyAlignment="1">
      <alignment horizontal="center"/>
    </xf>
    <xf numFmtId="0" fontId="3" fillId="0" borderId="26" xfId="0" applyFont="1" applyBorder="1"/>
    <xf numFmtId="10" fontId="16" fillId="6" borderId="1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11" xfId="0" applyFont="1" applyFill="1" applyBorder="1"/>
    <xf numFmtId="0" fontId="28" fillId="0" borderId="0" xfId="3" applyFont="1"/>
    <xf numFmtId="0" fontId="3" fillId="10" borderId="0" xfId="0" applyFont="1" applyFill="1"/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0" borderId="12" xfId="0" quotePrefix="1" applyFont="1" applyBorder="1" applyAlignment="1">
      <alignment horizontal="center"/>
    </xf>
    <xf numFmtId="0" fontId="9" fillId="0" borderId="0" xfId="0" applyFont="1"/>
    <xf numFmtId="0" fontId="9" fillId="0" borderId="13" xfId="0" applyFont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13" borderId="13" xfId="0" applyFont="1" applyFill="1" applyBorder="1" applyAlignment="1">
      <alignment horizontal="center"/>
    </xf>
    <xf numFmtId="0" fontId="8" fillId="0" borderId="5" xfId="0" applyFont="1" applyBorder="1"/>
    <xf numFmtId="167" fontId="9" fillId="0" borderId="5" xfId="0" applyNumberFormat="1" applyFont="1" applyBorder="1" applyAlignment="1">
      <alignment horizontal="center"/>
    </xf>
    <xf numFmtId="167" fontId="9" fillId="2" borderId="5" xfId="0" applyNumberFormat="1" applyFont="1" applyFill="1" applyBorder="1" applyAlignment="1">
      <alignment horizontal="center"/>
    </xf>
    <xf numFmtId="166" fontId="9" fillId="0" borderId="5" xfId="0" applyNumberFormat="1" applyFont="1" applyBorder="1" applyAlignment="1">
      <alignment horizontal="center"/>
    </xf>
    <xf numFmtId="166" fontId="9" fillId="0" borderId="0" xfId="0" applyNumberFormat="1" applyFont="1" applyAlignment="1">
      <alignment horizontal="center"/>
    </xf>
    <xf numFmtId="1" fontId="9" fillId="12" borderId="5" xfId="0" applyNumberFormat="1" applyFont="1" applyFill="1" applyBorder="1" applyAlignment="1">
      <alignment horizontal="center"/>
    </xf>
    <xf numFmtId="166" fontId="9" fillId="12" borderId="5" xfId="0" applyNumberFormat="1" applyFont="1" applyFill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167" fontId="8" fillId="0" borderId="5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center"/>
    </xf>
    <xf numFmtId="0" fontId="11" fillId="3" borderId="5" xfId="0" applyFont="1" applyFill="1" applyBorder="1"/>
    <xf numFmtId="0" fontId="9" fillId="2" borderId="5" xfId="0" applyFont="1" applyFill="1" applyBorder="1" applyAlignment="1">
      <alignment horizontal="center"/>
    </xf>
    <xf numFmtId="168" fontId="8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9" fillId="14" borderId="5" xfId="0" applyFont="1" applyFill="1" applyBorder="1"/>
    <xf numFmtId="167" fontId="9" fillId="5" borderId="5" xfId="0" applyNumberFormat="1" applyFont="1" applyFill="1" applyBorder="1" applyAlignment="1">
      <alignment horizontal="center"/>
    </xf>
    <xf numFmtId="0" fontId="25" fillId="15" borderId="5" xfId="0" applyFont="1" applyFill="1" applyBorder="1"/>
    <xf numFmtId="3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66" fontId="9" fillId="9" borderId="29" xfId="0" applyNumberFormat="1" applyFont="1" applyFill="1" applyBorder="1" applyAlignment="1">
      <alignment horizontal="left"/>
    </xf>
    <xf numFmtId="166" fontId="9" fillId="9" borderId="30" xfId="0" applyNumberFormat="1" applyFont="1" applyFill="1" applyBorder="1" applyAlignment="1">
      <alignment horizontal="left"/>
    </xf>
    <xf numFmtId="166" fontId="9" fillId="9" borderId="5" xfId="0" applyNumberFormat="1" applyFont="1" applyFill="1" applyBorder="1" applyAlignment="1">
      <alignment horizontal="left"/>
    </xf>
    <xf numFmtId="166" fontId="9" fillId="0" borderId="0" xfId="0" applyNumberFormat="1" applyFont="1" applyAlignment="1">
      <alignment horizontal="left"/>
    </xf>
    <xf numFmtId="3" fontId="0" fillId="0" borderId="5" xfId="0" applyNumberFormat="1" applyBorder="1" applyAlignment="1">
      <alignment horizontal="left"/>
    </xf>
    <xf numFmtId="3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5" fillId="0" borderId="3" xfId="0" applyFont="1" applyBorder="1" applyAlignment="1">
      <alignment horizontal="center"/>
    </xf>
    <xf numFmtId="0" fontId="0" fillId="9" borderId="0" xfId="0" applyFill="1"/>
    <xf numFmtId="167" fontId="16" fillId="5" borderId="15" xfId="0" applyNumberFormat="1" applyFont="1" applyFill="1" applyBorder="1" applyAlignment="1">
      <alignment horizontal="right"/>
    </xf>
    <xf numFmtId="0" fontId="0" fillId="16" borderId="5" xfId="0" applyFill="1" applyBorder="1" applyAlignment="1">
      <alignment horizontal="center"/>
    </xf>
    <xf numFmtId="0" fontId="0" fillId="16" borderId="0" xfId="0" applyFill="1"/>
    <xf numFmtId="10" fontId="9" fillId="0" borderId="5" xfId="0" applyNumberFormat="1" applyFont="1" applyBorder="1" applyAlignment="1">
      <alignment horizontal="center"/>
    </xf>
    <xf numFmtId="10" fontId="9" fillId="0" borderId="0" xfId="0" applyNumberFormat="1" applyFont="1" applyAlignment="1">
      <alignment horizontal="center"/>
    </xf>
    <xf numFmtId="0" fontId="3" fillId="0" borderId="0" xfId="0" quotePrefix="1" applyFont="1"/>
    <xf numFmtId="0" fontId="3" fillId="9" borderId="5" xfId="0" applyFont="1" applyFill="1" applyBorder="1"/>
    <xf numFmtId="0" fontId="0" fillId="9" borderId="5" xfId="0" applyFill="1" applyBorder="1" applyAlignment="1">
      <alignment horizontal="center"/>
    </xf>
    <xf numFmtId="0" fontId="0" fillId="0" borderId="0" xfId="0" applyAlignment="1">
      <alignment vertical="center"/>
    </xf>
    <xf numFmtId="0" fontId="3" fillId="0" borderId="25" xfId="0" quotePrefix="1" applyFont="1" applyBorder="1"/>
    <xf numFmtId="10" fontId="3" fillId="0" borderId="0" xfId="0" applyNumberFormat="1" applyFont="1" applyAlignment="1">
      <alignment horizontal="center"/>
    </xf>
    <xf numFmtId="0" fontId="0" fillId="0" borderId="21" xfId="0" applyBorder="1"/>
    <xf numFmtId="10" fontId="0" fillId="0" borderId="22" xfId="0" applyNumberFormat="1" applyBorder="1" applyAlignment="1">
      <alignment horizontal="center"/>
    </xf>
    <xf numFmtId="3" fontId="0" fillId="17" borderId="5" xfId="0" applyNumberFormat="1" applyFill="1" applyBorder="1" applyAlignment="1">
      <alignment horizontal="center"/>
    </xf>
    <xf numFmtId="0" fontId="0" fillId="0" borderId="0" xfId="0" quotePrefix="1" applyAlignment="1">
      <alignment horizontal="center"/>
    </xf>
    <xf numFmtId="10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6" fillId="0" borderId="0" xfId="0" applyFont="1"/>
    <xf numFmtId="167" fontId="16" fillId="0" borderId="0" xfId="0" applyNumberFormat="1" applyFont="1"/>
    <xf numFmtId="0" fontId="0" fillId="0" borderId="2" xfId="0" applyBorder="1"/>
    <xf numFmtId="0" fontId="0" fillId="0" borderId="3" xfId="0" applyBorder="1"/>
    <xf numFmtId="10" fontId="0" fillId="0" borderId="4" xfId="0" applyNumberFormat="1" applyBorder="1" applyAlignment="1">
      <alignment horizontal="center"/>
    </xf>
    <xf numFmtId="0" fontId="0" fillId="9" borderId="18" xfId="0" applyFill="1" applyBorder="1"/>
    <xf numFmtId="0" fontId="0" fillId="0" borderId="27" xfId="0" applyBorder="1"/>
    <xf numFmtId="10" fontId="0" fillId="0" borderId="28" xfId="0" applyNumberFormat="1" applyBorder="1" applyAlignment="1">
      <alignment horizontal="center"/>
    </xf>
    <xf numFmtId="3" fontId="0" fillId="16" borderId="5" xfId="0" applyNumberFormat="1" applyFill="1" applyBorder="1" applyAlignment="1">
      <alignment horizontal="center"/>
    </xf>
    <xf numFmtId="165" fontId="0" fillId="19" borderId="5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65" fontId="0" fillId="16" borderId="5" xfId="1" applyNumberFormat="1" applyFont="1" applyFill="1" applyBorder="1"/>
    <xf numFmtId="165" fontId="0" fillId="0" borderId="5" xfId="1" applyNumberFormat="1" applyFont="1" applyFill="1" applyBorder="1"/>
    <xf numFmtId="165" fontId="0" fillId="5" borderId="5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67" fontId="16" fillId="6" borderId="11" xfId="0" applyNumberFormat="1" applyFont="1" applyFill="1" applyBorder="1" applyAlignment="1">
      <alignment horizontal="center"/>
    </xf>
    <xf numFmtId="0" fontId="22" fillId="18" borderId="2" xfId="0" applyFont="1" applyFill="1" applyBorder="1" applyAlignment="1">
      <alignment horizontal="center"/>
    </xf>
    <xf numFmtId="0" fontId="22" fillId="18" borderId="3" xfId="0" applyFont="1" applyFill="1" applyBorder="1" applyAlignment="1">
      <alignment horizontal="center"/>
    </xf>
    <xf numFmtId="0" fontId="22" fillId="5" borderId="2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 applyBorder="1"/>
    <xf numFmtId="10" fontId="0" fillId="0" borderId="0" xfId="0" applyNumberFormat="1" applyFill="1" applyBorder="1" applyAlignment="1">
      <alignment horizontal="center"/>
    </xf>
    <xf numFmtId="0" fontId="3" fillId="0" borderId="0" xfId="0" applyFont="1" applyFill="1" applyBorder="1"/>
    <xf numFmtId="10" fontId="3" fillId="0" borderId="0" xfId="0" applyNumberFormat="1" applyFont="1" applyFill="1" applyBorder="1" applyAlignment="1">
      <alignment horizontal="center"/>
    </xf>
  </cellXfs>
  <cellStyles count="4">
    <cellStyle name="Hyperkobling" xfId="3" builtinId="8"/>
    <cellStyle name="Komma" xfId="1" builtinId="3"/>
    <cellStyle name="Normal" xfId="0" builtinId="0"/>
    <cellStyle name="Normal 8" xfId="2" xr:uid="{B3FFD141-0492-4F50-9C14-A799CCAC1CA4}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fagdekk.no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306870</xdr:colOff>
      <xdr:row>6</xdr:row>
      <xdr:rowOff>34924</xdr:rowOff>
    </xdr:to>
    <xdr:pic>
      <xdr:nvPicPr>
        <xdr:cNvPr id="2" name="Picture 369" descr="Fagdek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720"/>
        <a:stretch>
          <a:fillRect/>
        </a:stretch>
      </xdr:blipFill>
      <xdr:spPr bwMode="auto">
        <a:xfrm>
          <a:off x="95250" y="0"/>
          <a:ext cx="2915586" cy="130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300974</xdr:colOff>
      <xdr:row>6</xdr:row>
      <xdr:rowOff>95249</xdr:rowOff>
    </xdr:to>
    <xdr:pic>
      <xdr:nvPicPr>
        <xdr:cNvPr id="4" name="Picture 369" descr="Fagdek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21F21B-3D4B-470D-BCF4-04F596CB6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720"/>
        <a:stretch>
          <a:fillRect/>
        </a:stretch>
      </xdr:blipFill>
      <xdr:spPr bwMode="auto">
        <a:xfrm>
          <a:off x="300038" y="0"/>
          <a:ext cx="3110848" cy="1338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349250</xdr:colOff>
      <xdr:row>1</xdr:row>
      <xdr:rowOff>27518</xdr:rowOff>
    </xdr:from>
    <xdr:to>
      <xdr:col>17</xdr:col>
      <xdr:colOff>1656672</xdr:colOff>
      <xdr:row>3</xdr:row>
      <xdr:rowOff>129118</xdr:rowOff>
    </xdr:to>
    <xdr:pic>
      <xdr:nvPicPr>
        <xdr:cNvPr id="5" name="Bilde 4" descr="cid:image006.png@01CE9515.CCB61560">
          <a:extLst>
            <a:ext uri="{FF2B5EF4-FFF2-40B4-BE49-F238E27FC236}">
              <a16:creationId xmlns:a16="http://schemas.microsoft.com/office/drawing/2014/main" id="{5D91AB7D-71C4-43BC-A270-65F18F393C85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0188" y="210081"/>
          <a:ext cx="2458358" cy="6905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104320</xdr:colOff>
      <xdr:row>1</xdr:row>
      <xdr:rowOff>5882</xdr:rowOff>
    </xdr:from>
    <xdr:to>
      <xdr:col>6</xdr:col>
      <xdr:colOff>1596003</xdr:colOff>
      <xdr:row>2</xdr:row>
      <xdr:rowOff>5953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E8EC86BD-22EA-49DF-B7B4-A0049E4BA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3758" y="428555"/>
          <a:ext cx="1705995" cy="422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1779984</xdr:colOff>
      <xdr:row>0</xdr:row>
      <xdr:rowOff>65485</xdr:rowOff>
    </xdr:from>
    <xdr:to>
      <xdr:col>7</xdr:col>
      <xdr:colOff>708024</xdr:colOff>
      <xdr:row>4</xdr:row>
      <xdr:rowOff>59532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690F3522-6110-469B-B5E8-4AAA403E4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3734" y="65485"/>
          <a:ext cx="1092994" cy="1196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E31"/>
  <sheetViews>
    <sheetView tabSelected="1" zoomScale="60" zoomScaleNormal="60" workbookViewId="0">
      <selection activeCell="O3" sqref="O3"/>
    </sheetView>
  </sheetViews>
  <sheetFormatPr baseColWidth="10" defaultRowHeight="14.5" x14ac:dyDescent="0.35"/>
  <cols>
    <col min="1" max="3" width="1.453125" customWidth="1"/>
    <col min="4" max="4" width="24.453125" customWidth="1"/>
    <col min="5" max="5" width="15" style="8" customWidth="1"/>
    <col min="6" max="6" width="5" style="8" customWidth="1"/>
    <col min="7" max="7" width="14.81640625" style="8" customWidth="1"/>
    <col min="8" max="8" width="14.26953125" style="8" customWidth="1"/>
    <col min="9" max="9" width="13.81640625" style="8" customWidth="1"/>
    <col min="10" max="10" width="19.26953125" customWidth="1"/>
    <col min="11" max="11" width="3.453125" customWidth="1"/>
    <col min="12" max="12" width="20.1796875" customWidth="1"/>
    <col min="13" max="13" width="20" customWidth="1"/>
    <col min="14" max="14" width="19.6328125" customWidth="1"/>
    <col min="15" max="15" width="20" customWidth="1"/>
    <col min="16" max="16" width="2.26953125" customWidth="1"/>
    <col min="17" max="17" width="16.1796875" customWidth="1"/>
    <col min="18" max="18" width="28.81640625" customWidth="1"/>
    <col min="19" max="20" width="1.81640625" customWidth="1"/>
    <col min="21" max="44" width="10.54296875" customWidth="1"/>
    <col min="46" max="46" width="20.54296875" customWidth="1"/>
    <col min="47" max="47" width="24.81640625" customWidth="1"/>
    <col min="48" max="49" width="20" customWidth="1"/>
    <col min="50" max="50" width="20.7265625" customWidth="1"/>
    <col min="51" max="51" width="19.26953125" customWidth="1"/>
    <col min="52" max="52" width="16.81640625" customWidth="1"/>
    <col min="53" max="53" width="15.453125" customWidth="1"/>
    <col min="54" max="54" width="16.26953125" customWidth="1"/>
    <col min="55" max="55" width="23.453125" customWidth="1"/>
    <col min="56" max="56" width="29.7265625" style="8" customWidth="1"/>
    <col min="57" max="57" width="28.7265625" style="8" customWidth="1"/>
  </cols>
  <sheetData>
    <row r="1" spans="2:57" ht="15" thickBot="1" x14ac:dyDescent="0.4">
      <c r="B1" s="76"/>
      <c r="C1" s="76"/>
      <c r="D1" s="76"/>
      <c r="E1" s="110"/>
      <c r="F1" s="110"/>
      <c r="G1" s="110"/>
      <c r="H1" s="110"/>
      <c r="I1" s="110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2:57" ht="23.5" x14ac:dyDescent="0.55000000000000004">
      <c r="B2" s="76"/>
      <c r="C2" s="76"/>
      <c r="D2" s="76"/>
      <c r="E2" s="110"/>
      <c r="F2" s="110"/>
      <c r="G2" s="110"/>
      <c r="H2" s="14" t="s">
        <v>28</v>
      </c>
      <c r="I2" s="15"/>
      <c r="J2" s="15"/>
      <c r="K2" s="15"/>
      <c r="L2" s="111"/>
      <c r="M2" s="112"/>
      <c r="N2" s="76"/>
      <c r="O2" s="76" t="s">
        <v>0</v>
      </c>
      <c r="P2" s="76"/>
      <c r="Q2" s="76"/>
      <c r="R2" s="76"/>
      <c r="S2" s="76"/>
      <c r="T2" s="76"/>
      <c r="BB2" s="149"/>
    </row>
    <row r="3" spans="2:57" ht="24" thickBot="1" x14ac:dyDescent="0.6">
      <c r="B3" s="76"/>
      <c r="C3" s="76"/>
      <c r="D3" s="76"/>
      <c r="E3" s="110"/>
      <c r="F3" s="110"/>
      <c r="G3" s="110" t="s">
        <v>0</v>
      </c>
      <c r="H3" s="19" t="s">
        <v>183</v>
      </c>
      <c r="I3" s="113"/>
      <c r="J3" s="16"/>
      <c r="K3" s="16"/>
      <c r="L3" s="113"/>
      <c r="M3" s="114"/>
      <c r="N3" s="76"/>
      <c r="O3" s="76" t="s">
        <v>0</v>
      </c>
      <c r="P3" s="76"/>
      <c r="Q3" s="76"/>
      <c r="R3" s="76"/>
      <c r="S3" s="76"/>
      <c r="T3" s="76"/>
      <c r="BB3" s="150"/>
    </row>
    <row r="4" spans="2:57" x14ac:dyDescent="0.35">
      <c r="B4" s="76"/>
      <c r="C4" s="76"/>
      <c r="D4" s="76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76"/>
      <c r="Q4" s="76"/>
      <c r="R4" s="76"/>
      <c r="S4" s="76"/>
      <c r="T4" s="76"/>
    </row>
    <row r="5" spans="2:57" x14ac:dyDescent="0.35">
      <c r="B5" s="76"/>
      <c r="C5" s="76"/>
      <c r="D5" s="76"/>
      <c r="E5" s="110"/>
      <c r="F5" s="110"/>
      <c r="G5" s="110"/>
      <c r="H5" s="110"/>
      <c r="I5" s="110"/>
      <c r="J5" s="76"/>
      <c r="K5" s="76"/>
      <c r="L5" s="76"/>
      <c r="M5" s="76"/>
      <c r="N5" s="76"/>
      <c r="O5" s="115"/>
      <c r="P5" s="76"/>
      <c r="Q5" s="76"/>
      <c r="R5" s="76"/>
      <c r="S5" s="76"/>
      <c r="T5" s="76"/>
    </row>
    <row r="6" spans="2:57" ht="8.15" customHeight="1" x14ac:dyDescent="0.35"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</row>
    <row r="7" spans="2:57" ht="8.15" customHeight="1" thickBot="1" x14ac:dyDescent="0.6">
      <c r="B7" s="116"/>
      <c r="C7" s="76"/>
      <c r="D7" s="117"/>
      <c r="E7" s="117"/>
      <c r="F7" s="117"/>
      <c r="G7" s="117"/>
      <c r="H7" s="117"/>
      <c r="I7" s="117"/>
      <c r="J7" s="117"/>
      <c r="K7" s="117"/>
      <c r="L7" s="76"/>
      <c r="M7" s="76"/>
      <c r="N7" s="117"/>
      <c r="O7" s="117"/>
      <c r="P7" s="117"/>
      <c r="Q7" s="117"/>
      <c r="R7" s="117"/>
      <c r="S7" s="117"/>
      <c r="T7" s="116"/>
    </row>
    <row r="8" spans="2:57" ht="23.5" x14ac:dyDescent="0.55000000000000004">
      <c r="B8" s="116"/>
      <c r="C8" s="76"/>
      <c r="D8" s="117"/>
      <c r="E8" s="118" t="s">
        <v>29</v>
      </c>
      <c r="F8" s="117"/>
      <c r="G8" s="118" t="s">
        <v>31</v>
      </c>
      <c r="H8" s="119" t="s">
        <v>165</v>
      </c>
      <c r="I8" s="120" t="s">
        <v>26</v>
      </c>
      <c r="J8" s="118" t="s">
        <v>166</v>
      </c>
      <c r="K8" s="117"/>
      <c r="L8" s="119" t="s">
        <v>167</v>
      </c>
      <c r="M8" s="118" t="s">
        <v>168</v>
      </c>
      <c r="N8" s="118" t="s">
        <v>396</v>
      </c>
      <c r="O8" s="118" t="s">
        <v>20</v>
      </c>
      <c r="P8" s="121"/>
      <c r="Q8" s="119" t="s">
        <v>27</v>
      </c>
      <c r="R8" s="118" t="s">
        <v>33</v>
      </c>
      <c r="S8" s="117"/>
      <c r="T8" s="116"/>
      <c r="AU8" s="5"/>
      <c r="AV8" s="5"/>
      <c r="AW8" s="5"/>
      <c r="AX8" s="10" t="s">
        <v>14</v>
      </c>
      <c r="AY8" s="10" t="s">
        <v>169</v>
      </c>
      <c r="AZ8" s="10" t="s">
        <v>170</v>
      </c>
      <c r="BA8" s="10" t="s">
        <v>170</v>
      </c>
      <c r="BB8" s="10" t="s">
        <v>19</v>
      </c>
      <c r="BC8" s="10" t="s">
        <v>190</v>
      </c>
      <c r="BD8" s="10"/>
      <c r="BE8" s="10"/>
    </row>
    <row r="9" spans="2:57" ht="24" thickBot="1" x14ac:dyDescent="0.6">
      <c r="B9" s="116"/>
      <c r="C9" s="76"/>
      <c r="E9" s="122" t="s">
        <v>30</v>
      </c>
      <c r="F9" s="117"/>
      <c r="G9" s="122" t="s">
        <v>32</v>
      </c>
      <c r="H9" s="123" t="s">
        <v>171</v>
      </c>
      <c r="I9" s="122" t="s">
        <v>32</v>
      </c>
      <c r="J9" s="122" t="s">
        <v>30</v>
      </c>
      <c r="K9" s="117"/>
      <c r="L9" s="123" t="s">
        <v>172</v>
      </c>
      <c r="M9" s="122" t="s">
        <v>39</v>
      </c>
      <c r="N9" s="122">
        <v>2025</v>
      </c>
      <c r="O9" s="122" t="s">
        <v>30</v>
      </c>
      <c r="P9" s="121"/>
      <c r="Q9" s="123" t="s">
        <v>30</v>
      </c>
      <c r="R9" s="124" t="s">
        <v>173</v>
      </c>
      <c r="S9" s="117"/>
      <c r="T9" s="116"/>
      <c r="AU9" s="10" t="s">
        <v>188</v>
      </c>
      <c r="AV9" s="10" t="s">
        <v>174</v>
      </c>
      <c r="AW9" s="10" t="s">
        <v>14</v>
      </c>
      <c r="AX9" s="10" t="s">
        <v>23</v>
      </c>
      <c r="AY9" s="10" t="s">
        <v>175</v>
      </c>
      <c r="AZ9" s="10" t="s">
        <v>189</v>
      </c>
      <c r="BA9" s="10" t="s">
        <v>176</v>
      </c>
      <c r="BB9" s="10" t="s">
        <v>176</v>
      </c>
      <c r="BC9" s="10" t="s">
        <v>177</v>
      </c>
      <c r="BD9" s="10" t="s">
        <v>178</v>
      </c>
      <c r="BE9" s="10" t="s">
        <v>178</v>
      </c>
    </row>
    <row r="10" spans="2:57" ht="23.5" x14ac:dyDescent="0.55000000000000004">
      <c r="B10" s="116"/>
      <c r="C10" s="76"/>
      <c r="D10" s="76"/>
      <c r="E10" s="117"/>
      <c r="F10" s="117"/>
      <c r="G10" s="117"/>
      <c r="H10" s="117"/>
      <c r="I10" s="117"/>
      <c r="J10" s="76"/>
      <c r="K10" s="76"/>
      <c r="L10" s="76"/>
      <c r="M10" s="76"/>
      <c r="N10" s="76"/>
      <c r="O10" s="121"/>
      <c r="P10" s="121"/>
      <c r="Q10" s="121"/>
      <c r="R10" s="76"/>
      <c r="S10" s="76"/>
      <c r="T10" s="116"/>
      <c r="AU10" s="5"/>
      <c r="AV10" s="5"/>
      <c r="AW10" s="5"/>
      <c r="AX10" s="5"/>
      <c r="AY10" s="5"/>
      <c r="AZ10" s="125"/>
      <c r="BA10" s="125"/>
      <c r="BB10" s="125"/>
      <c r="BC10" s="125" t="s">
        <v>179</v>
      </c>
      <c r="BD10" s="10" t="s">
        <v>180</v>
      </c>
      <c r="BE10" s="10" t="s">
        <v>30</v>
      </c>
    </row>
    <row r="11" spans="2:57" ht="23.5" x14ac:dyDescent="0.55000000000000004">
      <c r="B11" s="116"/>
      <c r="C11" s="76"/>
      <c r="D11" s="12" t="s">
        <v>15</v>
      </c>
      <c r="E11" s="128">
        <f>'Datablad VINTER- IKKE RØR'!C41</f>
        <v>100</v>
      </c>
      <c r="F11" s="117"/>
      <c r="G11" s="126">
        <v>0.41</v>
      </c>
      <c r="H11" s="127">
        <v>0.04</v>
      </c>
      <c r="I11" s="126">
        <f>SUM(G11:H11)</f>
        <v>0.44999999999999996</v>
      </c>
      <c r="J11" s="128">
        <v>100</v>
      </c>
      <c r="K11" s="129"/>
      <c r="L11" s="127">
        <v>0.09</v>
      </c>
      <c r="M11" s="126" t="s">
        <v>328</v>
      </c>
      <c r="N11" s="126">
        <f>SUM(L11:M11)</f>
        <v>0.09</v>
      </c>
      <c r="O11" s="128">
        <v>100</v>
      </c>
      <c r="P11" s="121"/>
      <c r="Q11" s="130">
        <v>100</v>
      </c>
      <c r="R11" s="131">
        <v>100</v>
      </c>
      <c r="S11" s="129"/>
      <c r="T11" s="116"/>
      <c r="AT11" s="12" t="s">
        <v>15</v>
      </c>
      <c r="AU11" s="132">
        <f>'Datablad VINTER- IKKE RØR'!B41</f>
        <v>72600</v>
      </c>
      <c r="AV11" s="133">
        <f>I11</f>
        <v>0.44999999999999996</v>
      </c>
      <c r="AW11" s="132">
        <f>AU11-(AU11*I11)</f>
        <v>39930</v>
      </c>
      <c r="AX11" s="132">
        <v>100</v>
      </c>
      <c r="AY11" s="133">
        <f>I11+(100%-I11)*N11</f>
        <v>0.49949999999999994</v>
      </c>
      <c r="AZ11" s="132">
        <f>AU11-(AU11*AY11)</f>
        <v>36336.300000000003</v>
      </c>
      <c r="BA11" s="132">
        <v>100</v>
      </c>
      <c r="BB11" s="132">
        <v>100</v>
      </c>
      <c r="BC11" s="132">
        <f>AZ11*100/65</f>
        <v>55902.000000000007</v>
      </c>
      <c r="BD11" s="132">
        <f>BC11-AZ11</f>
        <v>19565.700000000004</v>
      </c>
      <c r="BE11" s="10">
        <v>100</v>
      </c>
    </row>
    <row r="12" spans="2:57" ht="12" customHeight="1" x14ac:dyDescent="0.55000000000000004">
      <c r="B12" s="116"/>
      <c r="C12" s="76"/>
      <c r="D12" s="121"/>
      <c r="E12" s="117"/>
      <c r="F12" s="117"/>
      <c r="G12" s="134"/>
      <c r="H12" s="134"/>
      <c r="I12" s="134"/>
      <c r="J12" s="129"/>
      <c r="K12" s="129"/>
      <c r="L12" s="134"/>
      <c r="M12" s="134"/>
      <c r="N12" s="134"/>
      <c r="O12" s="129"/>
      <c r="P12" s="121"/>
      <c r="Q12" s="117"/>
      <c r="R12" s="129"/>
      <c r="S12" s="129"/>
      <c r="T12" s="116"/>
      <c r="AT12" s="121"/>
      <c r="AU12" s="132"/>
      <c r="AV12" s="132"/>
      <c r="AW12" s="62"/>
      <c r="AX12" s="62"/>
      <c r="AY12" s="132"/>
      <c r="AZ12" s="132"/>
      <c r="BA12" s="132"/>
      <c r="BB12" s="132"/>
      <c r="BC12" s="132"/>
      <c r="BD12" s="10"/>
      <c r="BE12" s="10"/>
    </row>
    <row r="13" spans="2:57" ht="23.5" x14ac:dyDescent="0.55000000000000004">
      <c r="B13" s="116"/>
      <c r="C13" s="76"/>
      <c r="D13" s="135" t="s">
        <v>1</v>
      </c>
      <c r="E13" s="128">
        <f>'Datablad VINTER- IKKE RØR'!C43</f>
        <v>98.909090909090907</v>
      </c>
      <c r="F13" s="117"/>
      <c r="G13" s="126">
        <v>0.373</v>
      </c>
      <c r="H13" s="127">
        <v>6.7000000000000004E-2</v>
      </c>
      <c r="I13" s="126">
        <f>SUM(G13:H13)</f>
        <v>0.44</v>
      </c>
      <c r="J13" s="128">
        <f>AX13</f>
        <v>100.70743801652891</v>
      </c>
      <c r="K13" s="129"/>
      <c r="L13" s="127">
        <v>6.5000000000000002E-2</v>
      </c>
      <c r="M13" s="157">
        <v>0.02</v>
      </c>
      <c r="N13" s="126">
        <f>SUM(L13:M13)</f>
        <v>8.5000000000000006E-2</v>
      </c>
      <c r="O13" s="128">
        <f>AZ13*100/AZ$11</f>
        <v>101.26077558804829</v>
      </c>
      <c r="P13" s="121"/>
      <c r="Q13" s="136">
        <v>100</v>
      </c>
      <c r="R13" s="128">
        <f>BE13</f>
        <v>97.658559622196009</v>
      </c>
      <c r="S13" s="129"/>
      <c r="T13" s="116"/>
      <c r="AT13" s="135" t="s">
        <v>1</v>
      </c>
      <c r="AU13" s="132">
        <f>'Datablad VINTER- IKKE RØR'!B43</f>
        <v>71808</v>
      </c>
      <c r="AV13" s="133">
        <f>I13</f>
        <v>0.44</v>
      </c>
      <c r="AW13" s="132">
        <f>AU13-(AU13*I13)</f>
        <v>40212.479999999996</v>
      </c>
      <c r="AX13" s="137">
        <f>AW13*100/AW$11</f>
        <v>100.70743801652891</v>
      </c>
      <c r="AY13" s="133">
        <f>I13+(100%-I13)*N13</f>
        <v>0.48760000000000003</v>
      </c>
      <c r="AZ13" s="132">
        <f>AU13-(AU13*AY13)</f>
        <v>36794.419199999997</v>
      </c>
      <c r="BA13" s="137">
        <f>AZ13*100/AZ$11</f>
        <v>101.26077558804829</v>
      </c>
      <c r="BB13" s="138">
        <f>Q13</f>
        <v>100</v>
      </c>
      <c r="BC13" s="132">
        <f>BC$11*Q13/100</f>
        <v>55902.000000000007</v>
      </c>
      <c r="BD13" s="132">
        <f>BC13-AZ13</f>
        <v>19107.580800000011</v>
      </c>
      <c r="BE13" s="11">
        <f>BD13*100/BD$11</f>
        <v>97.658559622196009</v>
      </c>
    </row>
    <row r="14" spans="2:57" ht="12" customHeight="1" x14ac:dyDescent="0.55000000000000004">
      <c r="B14" s="116"/>
      <c r="C14" s="76"/>
      <c r="D14" s="121"/>
      <c r="E14" s="117"/>
      <c r="F14" s="117"/>
      <c r="G14" s="134"/>
      <c r="H14" s="134"/>
      <c r="I14" s="134"/>
      <c r="J14" s="129"/>
      <c r="K14" s="129"/>
      <c r="L14" s="134"/>
      <c r="M14" s="158"/>
      <c r="N14" s="134"/>
      <c r="O14" s="129"/>
      <c r="P14" s="121"/>
      <c r="Q14" s="117"/>
      <c r="R14" s="129"/>
      <c r="S14" s="129"/>
      <c r="T14" s="116"/>
      <c r="AT14" s="121"/>
      <c r="AU14" s="132"/>
      <c r="AV14" s="132"/>
      <c r="AW14" s="62"/>
      <c r="AX14" s="62"/>
      <c r="AY14" s="132"/>
      <c r="AZ14" s="132"/>
      <c r="BA14" s="132"/>
      <c r="BB14" s="138"/>
      <c r="BC14" s="132"/>
      <c r="BD14" s="11"/>
      <c r="BE14" s="11"/>
    </row>
    <row r="15" spans="2:57" ht="23.5" x14ac:dyDescent="0.55000000000000004">
      <c r="B15" s="116"/>
      <c r="C15" s="76"/>
      <c r="D15" s="139" t="s">
        <v>94</v>
      </c>
      <c r="E15" s="128">
        <f>'Datablad VINTER- IKKE RØR'!C46</f>
        <v>99.068870523415981</v>
      </c>
      <c r="F15" s="117"/>
      <c r="G15" s="126">
        <v>0.38</v>
      </c>
      <c r="H15" s="127">
        <v>0.09</v>
      </c>
      <c r="I15" s="126">
        <f>SUM(G15:H15)</f>
        <v>0.47</v>
      </c>
      <c r="J15" s="128">
        <f>AX15</f>
        <v>95.466366140746302</v>
      </c>
      <c r="K15" s="129"/>
      <c r="L15" s="127">
        <v>0.09</v>
      </c>
      <c r="M15" s="157">
        <v>0.01</v>
      </c>
      <c r="N15" s="126">
        <f>SUM(L15:M15)</f>
        <v>9.9999999999999992E-2</v>
      </c>
      <c r="O15" s="128">
        <f>AZ15*100/AZ$11</f>
        <v>94.417285194144682</v>
      </c>
      <c r="P15" s="121"/>
      <c r="Q15" s="136">
        <v>100</v>
      </c>
      <c r="R15" s="128">
        <f>BE15</f>
        <v>110.36789892515985</v>
      </c>
      <c r="T15" s="116"/>
      <c r="AT15" s="139" t="s">
        <v>94</v>
      </c>
      <c r="AU15" s="132">
        <f>'Datablad VINTER- IKKE RØR'!B46</f>
        <v>71924</v>
      </c>
      <c r="AV15" s="133">
        <f>I15</f>
        <v>0.47</v>
      </c>
      <c r="AW15" s="132">
        <f>AU15-(AU15*I15)</f>
        <v>38119.72</v>
      </c>
      <c r="AX15" s="137">
        <f>AW15*100/AW$11</f>
        <v>95.466366140746302</v>
      </c>
      <c r="AY15" s="133">
        <f>I15+(100%-I15)*N15</f>
        <v>0.52300000000000002</v>
      </c>
      <c r="AZ15" s="132">
        <f>AU15-(AU15*AY15)</f>
        <v>34307.748</v>
      </c>
      <c r="BA15" s="137">
        <f>AZ15*100/AZ$11</f>
        <v>94.417285194144682</v>
      </c>
      <c r="BB15" s="138">
        <f>Q15</f>
        <v>100</v>
      </c>
      <c r="BC15" s="132">
        <f>BC$11*Q15/100</f>
        <v>55902.000000000007</v>
      </c>
      <c r="BD15" s="132">
        <f>BC15-AZ15</f>
        <v>21594.252000000008</v>
      </c>
      <c r="BE15" s="11">
        <f>BD15*100/BD$11</f>
        <v>110.36789892515985</v>
      </c>
    </row>
    <row r="16" spans="2:57" ht="12" customHeight="1" x14ac:dyDescent="0.55000000000000004">
      <c r="B16" s="116"/>
      <c r="C16" s="76"/>
      <c r="D16" s="121"/>
      <c r="E16" s="129"/>
      <c r="F16" s="117"/>
      <c r="G16" s="134"/>
      <c r="H16" s="134"/>
      <c r="I16" s="134"/>
      <c r="J16" s="129"/>
      <c r="K16" s="129"/>
      <c r="L16" s="134"/>
      <c r="M16" s="134"/>
      <c r="N16" s="134"/>
      <c r="O16" s="129"/>
      <c r="P16" s="121"/>
      <c r="Q16" s="117"/>
      <c r="R16" s="129"/>
      <c r="S16" s="129"/>
      <c r="T16" s="116"/>
      <c r="AT16" s="121"/>
      <c r="AU16" s="132"/>
      <c r="AV16" s="132"/>
      <c r="AW16" s="62"/>
      <c r="AX16" s="62"/>
      <c r="AY16" s="132"/>
      <c r="AZ16" s="132"/>
      <c r="BA16" s="132"/>
      <c r="BB16" s="138"/>
      <c r="BC16" s="132"/>
      <c r="BD16" s="11"/>
      <c r="BE16" s="11"/>
    </row>
    <row r="17" spans="2:57" ht="23.5" x14ac:dyDescent="0.55000000000000004">
      <c r="B17" s="116"/>
      <c r="C17" s="76"/>
      <c r="D17" s="22" t="s">
        <v>21</v>
      </c>
      <c r="E17" s="128">
        <f>'Datablad VINTER- IKKE RØR'!C45</f>
        <v>89.494297520661164</v>
      </c>
      <c r="F17" s="117"/>
      <c r="G17" s="126">
        <v>0.33</v>
      </c>
      <c r="H17" s="127">
        <v>0.09</v>
      </c>
      <c r="I17" s="126">
        <f>SUM(G17:H17)</f>
        <v>0.42000000000000004</v>
      </c>
      <c r="J17" s="128">
        <f>AX17</f>
        <v>94.37580465815175</v>
      </c>
      <c r="K17" s="129"/>
      <c r="L17" s="127">
        <v>0.09</v>
      </c>
      <c r="M17" s="126" t="s">
        <v>328</v>
      </c>
      <c r="N17" s="126">
        <f>SUM(L17:M17)</f>
        <v>0.09</v>
      </c>
      <c r="O17" s="128">
        <f>AZ17*100/AZ$11</f>
        <v>94.37580465815175</v>
      </c>
      <c r="P17" s="121"/>
      <c r="Q17" s="136">
        <v>100</v>
      </c>
      <c r="R17" s="128">
        <f>BE17</f>
        <v>110.44493420628959</v>
      </c>
      <c r="S17" s="129"/>
      <c r="T17" s="116"/>
      <c r="AT17" s="22" t="s">
        <v>21</v>
      </c>
      <c r="AU17" s="132">
        <f>'Datablad VINTER- IKKE RØR'!B45</f>
        <v>64972.86</v>
      </c>
      <c r="AV17" s="133">
        <f>I17</f>
        <v>0.42000000000000004</v>
      </c>
      <c r="AW17" s="132">
        <f>AU17-(AU17*I17)</f>
        <v>37684.258799999996</v>
      </c>
      <c r="AX17" s="137">
        <f>AW17*100/AW$11</f>
        <v>94.37580465815175</v>
      </c>
      <c r="AY17" s="133">
        <f>I17+(100%-I17)*N17</f>
        <v>0.47220000000000006</v>
      </c>
      <c r="AZ17" s="132">
        <f>AU17-(AU17*AY17)</f>
        <v>34292.675508</v>
      </c>
      <c r="BA17" s="137">
        <f>AZ17*100/AZ$11</f>
        <v>94.37580465815175</v>
      </c>
      <c r="BB17" s="138">
        <f>Q17</f>
        <v>100</v>
      </c>
      <c r="BC17" s="132">
        <f>BC$11*Q17/100</f>
        <v>55902.000000000007</v>
      </c>
      <c r="BD17" s="132">
        <f>BC17-AZ17</f>
        <v>21609.324492000007</v>
      </c>
      <c r="BE17" s="11">
        <f>BD17*100/BD$11</f>
        <v>110.44493420628959</v>
      </c>
    </row>
    <row r="18" spans="2:57" ht="12" customHeight="1" x14ac:dyDescent="0.55000000000000004">
      <c r="B18" s="116"/>
      <c r="C18" s="76"/>
      <c r="D18" s="121"/>
      <c r="E18" s="129"/>
      <c r="F18" s="117"/>
      <c r="G18" s="134"/>
      <c r="H18" s="134"/>
      <c r="I18" s="134"/>
      <c r="J18" s="129"/>
      <c r="K18" s="129"/>
      <c r="L18" s="134"/>
      <c r="M18" s="134"/>
      <c r="N18" s="134"/>
      <c r="O18" s="129"/>
      <c r="P18" s="121"/>
      <c r="Q18" s="117"/>
      <c r="R18" s="129"/>
      <c r="S18" s="129"/>
      <c r="T18" s="116"/>
      <c r="AT18" s="121"/>
      <c r="AU18" s="132"/>
      <c r="AV18" s="132"/>
      <c r="AW18" s="62"/>
      <c r="AX18" s="62"/>
      <c r="AY18" s="132"/>
      <c r="AZ18" s="132"/>
      <c r="BA18" s="132"/>
      <c r="BB18" s="138"/>
      <c r="BC18" s="132"/>
      <c r="BD18" s="11"/>
      <c r="BE18" s="11"/>
    </row>
    <row r="19" spans="2:57" ht="23.5" x14ac:dyDescent="0.55000000000000004">
      <c r="B19" s="116"/>
      <c r="C19" s="76"/>
      <c r="D19" s="13" t="s">
        <v>16</v>
      </c>
      <c r="E19" s="128">
        <f>'Datablad VINTER- IKKE RØR'!C42</f>
        <v>91.082644628099175</v>
      </c>
      <c r="F19" s="117"/>
      <c r="G19" s="126">
        <v>0.42</v>
      </c>
      <c r="H19" s="127">
        <v>3.6999999999999998E-2</v>
      </c>
      <c r="I19" s="126">
        <f>SUM(G19:H19)</f>
        <v>0.45699999999999996</v>
      </c>
      <c r="J19" s="128">
        <f>AX19</f>
        <v>89.923410969196112</v>
      </c>
      <c r="K19" s="129"/>
      <c r="L19" s="127">
        <v>0.1</v>
      </c>
      <c r="M19" s="126">
        <v>0.02</v>
      </c>
      <c r="N19" s="126">
        <f>SUM(L19:M19)</f>
        <v>0.12000000000000001</v>
      </c>
      <c r="O19" s="128">
        <f>AZ19*100/AZ$11</f>
        <v>86.958902915266563</v>
      </c>
      <c r="P19" s="121"/>
      <c r="Q19" s="136">
        <v>100</v>
      </c>
      <c r="R19" s="128">
        <f>BE19</f>
        <v>124.21918030021924</v>
      </c>
      <c r="S19" s="129"/>
      <c r="T19" s="116"/>
      <c r="AT19" s="13" t="s">
        <v>16</v>
      </c>
      <c r="AU19" s="132">
        <f>'Datablad VINTER- IKKE RØR'!B42</f>
        <v>66126</v>
      </c>
      <c r="AV19" s="133">
        <f>I19</f>
        <v>0.45699999999999996</v>
      </c>
      <c r="AW19" s="132">
        <f>AU19-(AU19*I19)</f>
        <v>35906.418000000005</v>
      </c>
      <c r="AX19" s="137">
        <f>AW19*100/AW$11</f>
        <v>89.923410969196112</v>
      </c>
      <c r="AY19" s="133">
        <f>I19+(100%-I19)*N19</f>
        <v>0.52215999999999996</v>
      </c>
      <c r="AZ19" s="132">
        <f>AU19-(AU19*AY19)</f>
        <v>31597.647840000005</v>
      </c>
      <c r="BA19" s="137">
        <f>AZ19*100/AZ$11</f>
        <v>86.958902915266563</v>
      </c>
      <c r="BB19" s="138">
        <f>Q19</f>
        <v>100</v>
      </c>
      <c r="BC19" s="132">
        <f>BC$11*Q19/100</f>
        <v>55902.000000000007</v>
      </c>
      <c r="BD19" s="132">
        <f>BC19-AZ19</f>
        <v>24304.352160000002</v>
      </c>
      <c r="BE19" s="11">
        <f>BD19*100/BD$11</f>
        <v>124.21918030021924</v>
      </c>
    </row>
    <row r="20" spans="2:57" ht="12" customHeight="1" x14ac:dyDescent="0.55000000000000004">
      <c r="B20" s="116"/>
      <c r="C20" s="76"/>
      <c r="D20" s="121"/>
      <c r="E20" s="129"/>
      <c r="F20" s="117"/>
      <c r="G20" s="134"/>
      <c r="H20" s="134"/>
      <c r="I20" s="134"/>
      <c r="J20" s="129"/>
      <c r="K20" s="129"/>
      <c r="L20" s="134"/>
      <c r="M20" s="134"/>
      <c r="N20" s="134"/>
      <c r="O20" s="129"/>
      <c r="P20" s="121"/>
      <c r="Q20" s="117"/>
      <c r="R20" s="129"/>
      <c r="S20" s="129"/>
      <c r="T20" s="116"/>
      <c r="AT20" s="121"/>
      <c r="AU20" s="132"/>
      <c r="AV20" s="132"/>
      <c r="AW20" s="62"/>
      <c r="AX20" s="62"/>
      <c r="AY20" s="132"/>
      <c r="AZ20" s="132"/>
      <c r="BA20" s="132"/>
      <c r="BB20" s="138"/>
      <c r="BC20" s="132"/>
      <c r="BD20" s="11"/>
      <c r="BE20" s="11"/>
    </row>
    <row r="21" spans="2:57" ht="23.5" x14ac:dyDescent="0.55000000000000004">
      <c r="B21" s="116"/>
      <c r="C21" s="76"/>
      <c r="D21" s="141" t="s">
        <v>140</v>
      </c>
      <c r="E21" s="128">
        <f>'Datablad VINTER- IKKE RØR'!C47</f>
        <v>66.684573002754817</v>
      </c>
      <c r="F21" s="117"/>
      <c r="G21" s="126">
        <v>0.36</v>
      </c>
      <c r="H21" s="127">
        <v>7.0000000000000007E-2</v>
      </c>
      <c r="I21" s="126">
        <f>SUM(G21:H21)</f>
        <v>0.43</v>
      </c>
      <c r="J21" s="128">
        <f>AX21</f>
        <v>69.109466566491363</v>
      </c>
      <c r="K21" s="129"/>
      <c r="L21" s="127">
        <v>0.08</v>
      </c>
      <c r="M21" s="126">
        <v>0.01</v>
      </c>
      <c r="N21" s="126">
        <f>SUM(L21:M21)</f>
        <v>0.09</v>
      </c>
      <c r="O21" s="128">
        <f>AZ21*100/AZ$11</f>
        <v>69.109466566491349</v>
      </c>
      <c r="P21" s="121"/>
      <c r="Q21" s="136">
        <v>85</v>
      </c>
      <c r="R21" s="128">
        <f>BE21</f>
        <v>114.51099066223036</v>
      </c>
      <c r="S21" s="129"/>
      <c r="T21" s="116"/>
      <c r="AT21" s="141" t="s">
        <v>140</v>
      </c>
      <c r="AU21" s="132">
        <f>'Datablad VINTER- IKKE RØR'!B47</f>
        <v>48413</v>
      </c>
      <c r="AV21" s="133">
        <f>I21</f>
        <v>0.43</v>
      </c>
      <c r="AW21" s="132">
        <f>AU21-(AU21*I21)</f>
        <v>27595.41</v>
      </c>
      <c r="AX21" s="137">
        <f>AW21*100/AW$11</f>
        <v>69.109466566491363</v>
      </c>
      <c r="AY21" s="133">
        <f>I21+(100%-I21)*N21</f>
        <v>0.48130000000000001</v>
      </c>
      <c r="AZ21" s="132">
        <f>AU21-(AU21*AY21)</f>
        <v>25111.823100000001</v>
      </c>
      <c r="BA21" s="137">
        <f>AZ21*100/AZ$11</f>
        <v>69.109466566491349</v>
      </c>
      <c r="BB21" s="138">
        <f>Q21</f>
        <v>85</v>
      </c>
      <c r="BC21" s="132">
        <f>BC$11*Q21/100</f>
        <v>47516.700000000012</v>
      </c>
      <c r="BD21" s="132">
        <f>BC21-AZ21</f>
        <v>22404.87690000001</v>
      </c>
      <c r="BE21" s="11">
        <f>BD21*100/BD$11</f>
        <v>114.51099066223036</v>
      </c>
    </row>
    <row r="22" spans="2:57" ht="12" customHeight="1" x14ac:dyDescent="0.55000000000000004">
      <c r="B22" s="116"/>
      <c r="C22" s="76"/>
      <c r="D22" s="121"/>
      <c r="E22" s="129"/>
      <c r="F22" s="117"/>
      <c r="G22" s="134"/>
      <c r="H22" s="134"/>
      <c r="I22" s="134"/>
      <c r="J22" s="129"/>
      <c r="K22" s="129"/>
      <c r="L22" s="134"/>
      <c r="M22" s="134"/>
      <c r="N22" s="134"/>
      <c r="O22" s="129"/>
      <c r="P22" s="121"/>
      <c r="Q22" s="117"/>
      <c r="R22" s="129"/>
      <c r="S22" s="129"/>
      <c r="T22" s="116"/>
      <c r="AT22" s="121"/>
      <c r="AU22" s="132"/>
      <c r="AV22" s="132"/>
      <c r="AW22" s="62"/>
      <c r="AX22" s="62"/>
      <c r="AY22" s="132"/>
      <c r="AZ22" s="132"/>
      <c r="BA22" s="132"/>
      <c r="BB22" s="138"/>
      <c r="BC22" s="132"/>
      <c r="BD22" s="11"/>
      <c r="BE22" s="11"/>
    </row>
    <row r="23" spans="2:57" ht="23.5" x14ac:dyDescent="0.55000000000000004">
      <c r="B23" s="116"/>
      <c r="C23" s="76"/>
      <c r="D23" s="17" t="s">
        <v>18</v>
      </c>
      <c r="E23" s="128">
        <f>'Datablad VINTER- IKKE RØR'!C44</f>
        <v>88.687327823691462</v>
      </c>
      <c r="F23" s="117"/>
      <c r="G23" s="126">
        <v>0.45</v>
      </c>
      <c r="H23" s="140">
        <v>0.1</v>
      </c>
      <c r="I23" s="126">
        <f>G23+(1-G23)*H23</f>
        <v>0.505</v>
      </c>
      <c r="J23" s="128">
        <f>AX23</f>
        <v>79.818595041322311</v>
      </c>
      <c r="K23" s="129"/>
      <c r="L23" s="127">
        <v>6.5000000000000002E-2</v>
      </c>
      <c r="M23" s="126">
        <v>0.01</v>
      </c>
      <c r="N23" s="126">
        <f>SUM(L23:M23)</f>
        <v>7.4999999999999997E-2</v>
      </c>
      <c r="O23" s="128">
        <f>AZ23*100/AZ$11</f>
        <v>81.134286168377074</v>
      </c>
      <c r="P23" s="121"/>
      <c r="Q23" s="136">
        <v>85</v>
      </c>
      <c r="R23" s="128">
        <f>BE23</f>
        <v>92.179182830156904</v>
      </c>
      <c r="S23" s="129"/>
      <c r="T23" s="116"/>
      <c r="AT23" s="17" t="s">
        <v>18</v>
      </c>
      <c r="AU23" s="132">
        <f>'Datablad VINTER- IKKE RØR'!B44</f>
        <v>64387</v>
      </c>
      <c r="AV23" s="133">
        <f>I23</f>
        <v>0.505</v>
      </c>
      <c r="AW23" s="132">
        <f>AU23-(AU23*I23)</f>
        <v>31871.564999999999</v>
      </c>
      <c r="AX23" s="137">
        <f>AW23*100/AW$11</f>
        <v>79.818595041322311</v>
      </c>
      <c r="AY23" s="133">
        <f>I23+(100%-I23)*N23</f>
        <v>0.54212499999999997</v>
      </c>
      <c r="AZ23" s="132">
        <f>AU23-(AU23*AY23)</f>
        <v>29481.197625000001</v>
      </c>
      <c r="BA23" s="137">
        <f>AZ23*100/AZ$11</f>
        <v>81.134286168377074</v>
      </c>
      <c r="BB23" s="138">
        <f>Q23</f>
        <v>85</v>
      </c>
      <c r="BC23" s="132">
        <f>BC$11*Q23/100</f>
        <v>47516.700000000012</v>
      </c>
      <c r="BD23" s="132">
        <f>BC23-AZ23</f>
        <v>18035.502375000011</v>
      </c>
      <c r="BE23" s="11">
        <f>BD23*100/BD$11</f>
        <v>92.179182830156904</v>
      </c>
    </row>
    <row r="24" spans="2:57" ht="16.149999999999999" customHeight="1" x14ac:dyDescent="0.55000000000000004">
      <c r="B24" s="116"/>
      <c r="C24" s="76"/>
      <c r="D24" s="121"/>
      <c r="E24" s="129"/>
      <c r="F24" s="117"/>
      <c r="G24" s="134"/>
      <c r="H24" s="134"/>
      <c r="I24" s="134"/>
      <c r="J24" s="129"/>
      <c r="K24" s="129"/>
      <c r="L24" s="134"/>
      <c r="M24" s="134"/>
      <c r="N24" s="134"/>
      <c r="O24" s="129"/>
      <c r="P24" s="121"/>
      <c r="Q24" s="117"/>
      <c r="R24" s="129"/>
      <c r="S24" s="129"/>
      <c r="T24" s="116"/>
      <c r="AV24" s="142"/>
      <c r="AW24" s="8"/>
      <c r="AX24" s="8"/>
      <c r="AY24" s="142"/>
      <c r="AZ24" s="9"/>
      <c r="BA24" s="142"/>
      <c r="BB24" s="142"/>
      <c r="BC24" s="143"/>
      <c r="BD24" s="9"/>
      <c r="BE24" s="9"/>
    </row>
    <row r="25" spans="2:57" ht="11.25" customHeight="1" x14ac:dyDescent="0.35"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</row>
    <row r="26" spans="2:57" ht="23.5" x14ac:dyDescent="0.55000000000000004">
      <c r="B26" s="76"/>
      <c r="C26" s="76"/>
      <c r="D26" s="76"/>
      <c r="E26" s="117"/>
      <c r="F26" s="117"/>
      <c r="G26" s="117"/>
      <c r="H26" s="117"/>
      <c r="I26" s="117"/>
      <c r="J26" s="121"/>
      <c r="K26" s="121"/>
      <c r="L26" s="121"/>
      <c r="M26" s="121"/>
      <c r="N26" s="121"/>
      <c r="O26" s="121"/>
      <c r="P26" s="121"/>
      <c r="Q26" s="121"/>
      <c r="R26" s="121"/>
      <c r="S26" s="76"/>
      <c r="T26" s="76"/>
    </row>
    <row r="27" spans="2:57" ht="23.5" x14ac:dyDescent="0.55000000000000004">
      <c r="B27" s="76"/>
      <c r="C27" s="76"/>
      <c r="D27" s="76"/>
      <c r="E27" s="110"/>
      <c r="F27" s="110"/>
      <c r="G27" s="110"/>
      <c r="H27" s="18" t="s">
        <v>45</v>
      </c>
      <c r="I27" s="110"/>
      <c r="J27" s="76"/>
      <c r="K27" s="76"/>
      <c r="L27" s="144" t="s">
        <v>275</v>
      </c>
      <c r="M27" s="144"/>
      <c r="N27" s="145"/>
      <c r="O27" s="76"/>
      <c r="P27" s="76"/>
      <c r="Q27" s="76"/>
      <c r="R27" s="76"/>
      <c r="S27" s="76"/>
      <c r="T27" s="76"/>
    </row>
    <row r="28" spans="2:57" ht="23.5" x14ac:dyDescent="0.55000000000000004">
      <c r="B28" s="76"/>
      <c r="C28" s="76"/>
      <c r="D28" s="76" t="s">
        <v>0</v>
      </c>
      <c r="E28" s="110" t="s">
        <v>0</v>
      </c>
      <c r="F28" s="110"/>
      <c r="G28" s="110"/>
      <c r="H28" s="18" t="s">
        <v>181</v>
      </c>
      <c r="I28" s="110"/>
      <c r="J28" s="76"/>
      <c r="K28" s="76"/>
      <c r="L28" s="146" t="s">
        <v>182</v>
      </c>
      <c r="M28" s="146"/>
      <c r="N28" s="146"/>
      <c r="O28" s="76"/>
      <c r="P28" s="76"/>
      <c r="Q28" s="76"/>
      <c r="R28" s="76"/>
      <c r="S28" s="76"/>
      <c r="T28" s="76"/>
    </row>
    <row r="29" spans="2:57" ht="23.5" x14ac:dyDescent="0.55000000000000004">
      <c r="H29" s="129"/>
      <c r="L29" s="147"/>
      <c r="M29" s="147"/>
      <c r="N29" s="147"/>
    </row>
    <row r="31" spans="2:57" ht="23.5" x14ac:dyDescent="0.55000000000000004">
      <c r="AZ31" s="143"/>
      <c r="BA31" s="143"/>
      <c r="BB31" s="143"/>
      <c r="BC31" s="143"/>
      <c r="BD31" s="9"/>
      <c r="BE31" s="9" t="e">
        <f>BD31-(BD31*#REF!)</f>
        <v>#REF!</v>
      </c>
    </row>
  </sheetData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opLeftCell="A3" zoomScale="80" zoomScaleNormal="80" workbookViewId="0">
      <selection activeCell="A41" sqref="A41"/>
    </sheetView>
  </sheetViews>
  <sheetFormatPr baseColWidth="10" defaultRowHeight="14.5" x14ac:dyDescent="0.35"/>
  <cols>
    <col min="1" max="1" width="28.1796875" customWidth="1"/>
    <col min="2" max="2" width="8.81640625" customWidth="1"/>
    <col min="3" max="3" width="17.1796875" customWidth="1"/>
    <col min="4" max="4" width="11.81640625" customWidth="1"/>
    <col min="5" max="5" width="2.453125" customWidth="1"/>
    <col min="6" max="6" width="29.54296875" customWidth="1"/>
    <col min="8" max="8" width="13.54296875" customWidth="1"/>
    <col min="9" max="9" width="26.1796875" customWidth="1"/>
    <col min="10" max="10" width="2.54296875" customWidth="1"/>
    <col min="11" max="11" width="14" customWidth="1"/>
    <col min="13" max="13" width="11.81640625" customWidth="1"/>
    <col min="14" max="14" width="14.453125" customWidth="1"/>
    <col min="15" max="15" width="2.54296875" customWidth="1"/>
    <col min="16" max="16" width="16" customWidth="1"/>
    <col min="18" max="18" width="23.1796875" customWidth="1"/>
    <col min="19" max="19" width="13.54296875" customWidth="1"/>
    <col min="22" max="22" width="14" customWidth="1"/>
    <col min="24" max="24" width="2.453125" customWidth="1"/>
    <col min="27" max="27" width="11.54296875" customWidth="1"/>
  </cols>
  <sheetData>
    <row r="1" spans="1:19" ht="33.5" x14ac:dyDescent="0.75">
      <c r="A1" s="33" t="s">
        <v>335</v>
      </c>
      <c r="H1">
        <f>H90</f>
        <v>0</v>
      </c>
    </row>
    <row r="3" spans="1:19" x14ac:dyDescent="0.35">
      <c r="P3" s="76"/>
      <c r="Q3" s="84"/>
    </row>
    <row r="4" spans="1:19" ht="15" thickBot="1" x14ac:dyDescent="0.4">
      <c r="A4" s="153" t="s">
        <v>340</v>
      </c>
      <c r="B4" s="153"/>
      <c r="C4" s="153"/>
      <c r="D4" s="153"/>
      <c r="F4" s="153" t="s">
        <v>340</v>
      </c>
      <c r="G4" s="153"/>
      <c r="H4" s="153"/>
      <c r="I4" s="153"/>
      <c r="K4" s="153" t="s">
        <v>340</v>
      </c>
      <c r="L4" s="153"/>
      <c r="M4" s="153"/>
      <c r="N4" s="153"/>
      <c r="P4" s="153" t="s">
        <v>340</v>
      </c>
      <c r="Q4" s="153"/>
      <c r="R4" s="153"/>
      <c r="S4" s="153"/>
    </row>
    <row r="5" spans="1:19" ht="24" thickBot="1" x14ac:dyDescent="0.6">
      <c r="A5" s="27" t="s">
        <v>42</v>
      </c>
      <c r="B5" s="35"/>
      <c r="C5" s="35"/>
      <c r="D5" s="28"/>
      <c r="F5" s="29" t="s">
        <v>43</v>
      </c>
      <c r="G5" s="36"/>
      <c r="H5" s="36"/>
      <c r="I5" s="30"/>
      <c r="K5" s="85" t="s">
        <v>44</v>
      </c>
      <c r="L5" s="85"/>
      <c r="M5" s="85"/>
      <c r="N5" s="85"/>
      <c r="P5" s="86" t="s">
        <v>273</v>
      </c>
      <c r="Q5" s="86"/>
      <c r="R5" s="86"/>
      <c r="S5" s="86"/>
    </row>
    <row r="7" spans="1:19" x14ac:dyDescent="0.35">
      <c r="A7" s="5" t="s">
        <v>39</v>
      </c>
      <c r="B7" s="62" t="s">
        <v>8</v>
      </c>
      <c r="C7" s="62" t="s">
        <v>40</v>
      </c>
      <c r="D7" s="62" t="s">
        <v>41</v>
      </c>
      <c r="F7" s="5" t="s">
        <v>39</v>
      </c>
      <c r="G7" s="62" t="s">
        <v>8</v>
      </c>
      <c r="H7" s="62" t="s">
        <v>359</v>
      </c>
      <c r="I7" s="62" t="s">
        <v>41</v>
      </c>
      <c r="K7" s="5" t="s">
        <v>39</v>
      </c>
      <c r="L7" s="62" t="s">
        <v>8</v>
      </c>
      <c r="M7" s="62" t="s">
        <v>40</v>
      </c>
      <c r="N7" s="62" t="s">
        <v>41</v>
      </c>
      <c r="P7" s="5" t="s">
        <v>39</v>
      </c>
      <c r="Q7" s="62" t="s">
        <v>8</v>
      </c>
      <c r="R7" s="62" t="s">
        <v>40</v>
      </c>
      <c r="S7" s="62" t="s">
        <v>41</v>
      </c>
    </row>
    <row r="8" spans="1:19" x14ac:dyDescent="0.35">
      <c r="A8" s="5"/>
      <c r="B8" s="5"/>
      <c r="C8" s="5"/>
      <c r="D8" s="5"/>
      <c r="F8" s="5" t="s">
        <v>355</v>
      </c>
      <c r="G8" s="26">
        <v>0.42</v>
      </c>
      <c r="H8" s="26">
        <v>7.0000000000000001E-3</v>
      </c>
      <c r="I8" s="87">
        <f t="shared" ref="I8:I11" si="0">SUM(G8:H8)</f>
        <v>0.42699999999999999</v>
      </c>
      <c r="K8" s="5"/>
      <c r="L8" s="62"/>
      <c r="M8" s="62"/>
      <c r="N8" s="62"/>
      <c r="P8" s="5"/>
      <c r="Q8" s="62"/>
      <c r="R8" s="62"/>
      <c r="S8" s="62"/>
    </row>
    <row r="9" spans="1:19" x14ac:dyDescent="0.35">
      <c r="A9" s="5" t="s">
        <v>191</v>
      </c>
      <c r="B9" s="26">
        <v>0.41</v>
      </c>
      <c r="C9" s="67">
        <v>0.02</v>
      </c>
      <c r="D9" s="26">
        <f>SUM(B9:C9)</f>
        <v>0.43</v>
      </c>
      <c r="F9" s="5" t="s">
        <v>356</v>
      </c>
      <c r="G9" s="26">
        <v>0.42</v>
      </c>
      <c r="H9" s="26">
        <v>0.01</v>
      </c>
      <c r="I9" s="87">
        <f t="shared" si="0"/>
        <v>0.43</v>
      </c>
      <c r="K9" s="5" t="s">
        <v>48</v>
      </c>
      <c r="L9" s="26">
        <v>0.373</v>
      </c>
      <c r="M9" s="26">
        <v>3.6999999999999998E-2</v>
      </c>
      <c r="N9" s="26">
        <f>SUM(L9:M9)</f>
        <v>0.41</v>
      </c>
      <c r="P9" s="37" t="s">
        <v>133</v>
      </c>
      <c r="Q9" s="25">
        <v>0.33</v>
      </c>
      <c r="R9" s="67">
        <v>7.0000000000000007E-2</v>
      </c>
      <c r="S9" s="67">
        <v>0.4</v>
      </c>
    </row>
    <row r="10" spans="1:19" x14ac:dyDescent="0.35">
      <c r="A10" s="5" t="s">
        <v>192</v>
      </c>
      <c r="B10" s="26">
        <v>0.41</v>
      </c>
      <c r="C10" s="67">
        <v>0.04</v>
      </c>
      <c r="D10" s="26">
        <f>SUM(B10:C10)</f>
        <v>0.44999999999999996</v>
      </c>
      <c r="F10" s="5" t="s">
        <v>357</v>
      </c>
      <c r="G10" s="26">
        <v>0.44</v>
      </c>
      <c r="H10" s="26">
        <v>1.7000000000000001E-2</v>
      </c>
      <c r="I10" s="87">
        <f t="shared" si="0"/>
        <v>0.45700000000000002</v>
      </c>
      <c r="K10" s="5" t="s">
        <v>45</v>
      </c>
      <c r="L10" s="26">
        <v>0.373</v>
      </c>
      <c r="M10" s="26">
        <v>6.7000000000000004E-2</v>
      </c>
      <c r="N10" s="26">
        <f>SUM(L10:M10)</f>
        <v>0.44</v>
      </c>
      <c r="P10" s="37" t="s">
        <v>363</v>
      </c>
      <c r="Q10" s="25">
        <v>0.33</v>
      </c>
      <c r="R10" s="67">
        <v>0.09</v>
      </c>
      <c r="S10" s="67">
        <v>0.42</v>
      </c>
    </row>
    <row r="11" spans="1:19" x14ac:dyDescent="0.35">
      <c r="A11" s="5" t="s">
        <v>279</v>
      </c>
      <c r="B11" s="26">
        <v>0.41</v>
      </c>
      <c r="C11" s="67">
        <v>0.06</v>
      </c>
      <c r="D11" s="26">
        <v>0.47</v>
      </c>
      <c r="F11" s="5" t="s">
        <v>358</v>
      </c>
      <c r="G11" s="26">
        <v>0.44</v>
      </c>
      <c r="H11" s="26">
        <v>2.5000000000000001E-2</v>
      </c>
      <c r="I11" s="87">
        <f t="shared" si="0"/>
        <v>0.46500000000000002</v>
      </c>
      <c r="K11" s="5"/>
      <c r="L11" s="26"/>
      <c r="M11" s="26"/>
      <c r="N11" s="26"/>
      <c r="P11" s="37"/>
      <c r="Q11" s="25"/>
      <c r="R11" s="67"/>
      <c r="S11" s="67"/>
    </row>
    <row r="12" spans="1:19" x14ac:dyDescent="0.35">
      <c r="A12" s="5" t="s">
        <v>193</v>
      </c>
      <c r="B12" s="26"/>
      <c r="C12" s="67"/>
      <c r="D12" s="26"/>
      <c r="F12" s="5"/>
      <c r="G12" s="26"/>
      <c r="H12" s="26" t="s">
        <v>360</v>
      </c>
      <c r="I12" s="87"/>
      <c r="K12" s="5"/>
      <c r="L12" s="26"/>
      <c r="M12" s="26"/>
      <c r="N12" s="26"/>
      <c r="P12" s="37"/>
      <c r="Q12" s="25"/>
      <c r="R12" s="67"/>
      <c r="S12" s="67"/>
    </row>
    <row r="13" spans="1:19" x14ac:dyDescent="0.35">
      <c r="A13" s="5"/>
      <c r="B13" s="88"/>
      <c r="C13" s="49"/>
      <c r="D13" s="89"/>
      <c r="G13" s="8"/>
      <c r="H13" s="8"/>
      <c r="I13" s="8"/>
      <c r="P13" s="37"/>
      <c r="Q13" s="25"/>
      <c r="R13" s="67"/>
      <c r="S13" s="67"/>
    </row>
    <row r="14" spans="1:19" ht="15" thickBot="1" x14ac:dyDescent="0.4">
      <c r="G14" s="8"/>
      <c r="H14" s="8"/>
      <c r="I14" s="8"/>
    </row>
    <row r="15" spans="1:19" ht="16" thickBot="1" x14ac:dyDescent="0.4">
      <c r="A15" s="38" t="s">
        <v>46</v>
      </c>
      <c r="B15" s="39"/>
      <c r="C15" s="39"/>
      <c r="D15" s="154">
        <v>0.47</v>
      </c>
      <c r="E15" s="90"/>
      <c r="F15" s="40" t="s">
        <v>361</v>
      </c>
      <c r="G15" s="41"/>
      <c r="H15" s="41"/>
      <c r="I15" s="91">
        <v>0.46500000000000002</v>
      </c>
      <c r="J15" s="90"/>
      <c r="K15" s="92" t="s">
        <v>47</v>
      </c>
      <c r="L15" s="92"/>
      <c r="M15" s="92"/>
      <c r="N15" s="93">
        <v>0.44</v>
      </c>
      <c r="O15" s="90"/>
      <c r="P15" s="94" t="s">
        <v>148</v>
      </c>
      <c r="Q15" s="94"/>
      <c r="R15" s="94"/>
      <c r="S15" s="95">
        <v>0.42</v>
      </c>
    </row>
    <row r="16" spans="1:19" ht="15" thickBot="1" x14ac:dyDescent="0.4">
      <c r="N16" s="8"/>
    </row>
    <row r="17" spans="1:19" ht="16" thickBot="1" x14ac:dyDescent="0.4">
      <c r="A17" s="173" t="s">
        <v>280</v>
      </c>
      <c r="B17" s="174"/>
      <c r="C17" s="174"/>
      <c r="D17" s="175"/>
      <c r="F17" s="40" t="s">
        <v>149</v>
      </c>
      <c r="G17" s="40"/>
      <c r="H17" s="40"/>
      <c r="I17" s="106">
        <v>0.42</v>
      </c>
      <c r="K17" s="92" t="s">
        <v>334</v>
      </c>
      <c r="L17" s="92"/>
      <c r="M17" s="92"/>
      <c r="N17" s="93">
        <v>0.42</v>
      </c>
      <c r="P17" s="94" t="s">
        <v>334</v>
      </c>
      <c r="Q17" s="92"/>
      <c r="R17" s="92"/>
      <c r="S17" s="96">
        <v>0.42</v>
      </c>
    </row>
    <row r="18" spans="1:19" x14ac:dyDescent="0.35">
      <c r="D18" s="49"/>
      <c r="N18" s="8"/>
      <c r="S18" s="88"/>
    </row>
    <row r="19" spans="1:19" x14ac:dyDescent="0.35">
      <c r="D19" s="49"/>
      <c r="F19" s="5" t="s">
        <v>362</v>
      </c>
      <c r="G19" s="82"/>
      <c r="H19" s="82"/>
      <c r="I19" s="82"/>
      <c r="K19" s="5" t="s">
        <v>164</v>
      </c>
      <c r="L19" s="5"/>
      <c r="M19" s="5"/>
      <c r="N19" s="67">
        <v>0.4</v>
      </c>
      <c r="S19" s="168"/>
    </row>
    <row r="20" spans="1:19" x14ac:dyDescent="0.35">
      <c r="D20" s="49"/>
      <c r="K20" s="5" t="s">
        <v>97</v>
      </c>
      <c r="L20" s="5"/>
      <c r="M20" s="5"/>
      <c r="N20" s="67">
        <v>0.42</v>
      </c>
      <c r="S20" s="8"/>
    </row>
    <row r="23" spans="1:19" ht="15" thickBot="1" x14ac:dyDescent="0.4">
      <c r="A23" s="153" t="s">
        <v>340</v>
      </c>
      <c r="B23" s="153"/>
      <c r="C23" s="153"/>
      <c r="D23" s="153"/>
      <c r="F23" s="153" t="s">
        <v>340</v>
      </c>
      <c r="G23" s="153"/>
      <c r="H23" s="153"/>
      <c r="I23" s="153"/>
      <c r="K23" s="153" t="s">
        <v>340</v>
      </c>
      <c r="L23" s="153"/>
      <c r="M23" s="153"/>
      <c r="N23" s="153"/>
    </row>
    <row r="24" spans="1:19" ht="24" thickBot="1" x14ac:dyDescent="0.6">
      <c r="A24" s="31" t="s">
        <v>315</v>
      </c>
      <c r="B24" s="34"/>
      <c r="C24" s="34"/>
      <c r="D24" s="32"/>
      <c r="F24" s="97" t="s">
        <v>94</v>
      </c>
      <c r="G24" s="34"/>
      <c r="H24" s="34"/>
      <c r="I24" s="32"/>
      <c r="K24" s="103" t="s">
        <v>150</v>
      </c>
      <c r="L24" s="104"/>
      <c r="M24" s="104"/>
      <c r="N24" s="105"/>
      <c r="P24" s="121"/>
      <c r="Q24" s="121"/>
      <c r="R24" s="121"/>
      <c r="S24" s="121"/>
    </row>
    <row r="26" spans="1:19" x14ac:dyDescent="0.35">
      <c r="A26" s="5" t="s">
        <v>39</v>
      </c>
      <c r="B26" s="62" t="s">
        <v>8</v>
      </c>
      <c r="C26" s="62" t="s">
        <v>40</v>
      </c>
      <c r="D26" s="62" t="s">
        <v>41</v>
      </c>
      <c r="F26" s="5" t="s">
        <v>39</v>
      </c>
      <c r="G26" s="62" t="s">
        <v>8</v>
      </c>
      <c r="H26" s="62" t="s">
        <v>40</v>
      </c>
      <c r="I26" s="62" t="s">
        <v>41</v>
      </c>
      <c r="K26" s="5" t="s">
        <v>39</v>
      </c>
      <c r="L26" s="62" t="s">
        <v>8</v>
      </c>
      <c r="M26" s="62" t="s">
        <v>40</v>
      </c>
      <c r="N26" s="62" t="s">
        <v>41</v>
      </c>
      <c r="Q26" s="8"/>
      <c r="R26" s="8"/>
      <c r="S26" s="8"/>
    </row>
    <row r="27" spans="1:19" x14ac:dyDescent="0.35">
      <c r="A27" t="s">
        <v>158</v>
      </c>
      <c r="B27" s="25">
        <v>0.45</v>
      </c>
      <c r="C27" s="99">
        <v>0.05</v>
      </c>
      <c r="D27" s="26">
        <f t="shared" ref="D27:D29" si="1">B27+(1-B27)*C27</f>
        <v>0.47750000000000004</v>
      </c>
      <c r="F27" s="5" t="s">
        <v>133</v>
      </c>
      <c r="G27" s="25">
        <v>0.38</v>
      </c>
      <c r="H27" s="25">
        <v>0.09</v>
      </c>
      <c r="I27" s="26">
        <f>SUM(G27:H27)</f>
        <v>0.47</v>
      </c>
      <c r="K27" s="5"/>
      <c r="L27" s="62"/>
      <c r="M27" s="62"/>
      <c r="N27" s="62"/>
      <c r="Q27" s="88"/>
      <c r="R27" s="169"/>
      <c r="S27" s="49"/>
    </row>
    <row r="28" spans="1:19" x14ac:dyDescent="0.35">
      <c r="A28" s="98" t="s">
        <v>276</v>
      </c>
      <c r="B28" s="25">
        <v>0.45</v>
      </c>
      <c r="C28" s="99">
        <v>7.4999999999999997E-2</v>
      </c>
      <c r="D28" s="26">
        <f t="shared" si="1"/>
        <v>0.49125000000000002</v>
      </c>
      <c r="F28" s="5"/>
      <c r="G28" s="25"/>
      <c r="H28" s="25"/>
      <c r="I28" s="26"/>
      <c r="K28" s="5" t="s">
        <v>194</v>
      </c>
      <c r="L28" s="25">
        <v>0.36</v>
      </c>
      <c r="M28" s="25">
        <v>0.04</v>
      </c>
      <c r="N28" s="26">
        <f>SUM(L28:M28)</f>
        <v>0.39999999999999997</v>
      </c>
      <c r="P28" s="88"/>
      <c r="Q28" s="169"/>
      <c r="R28" s="49"/>
      <c r="S28" s="49"/>
    </row>
    <row r="29" spans="1:19" x14ac:dyDescent="0.35">
      <c r="A29" s="98" t="s">
        <v>277</v>
      </c>
      <c r="B29" s="25">
        <v>0.45</v>
      </c>
      <c r="C29" s="99">
        <v>0.1</v>
      </c>
      <c r="D29" s="26">
        <f t="shared" si="1"/>
        <v>0.505</v>
      </c>
      <c r="F29" s="5"/>
      <c r="G29" s="25"/>
      <c r="H29" s="25"/>
      <c r="I29" s="26"/>
      <c r="K29" s="5" t="s">
        <v>195</v>
      </c>
      <c r="L29" s="25">
        <v>0.36</v>
      </c>
      <c r="M29" s="67">
        <v>7.0000000000000007E-2</v>
      </c>
      <c r="N29" s="26">
        <f>SUM(L29:M29)</f>
        <v>0.43</v>
      </c>
      <c r="P29" s="170"/>
      <c r="Q29" s="88"/>
      <c r="R29" s="169"/>
      <c r="S29" s="49"/>
    </row>
    <row r="30" spans="1:19" x14ac:dyDescent="0.35">
      <c r="A30" s="82" t="s">
        <v>333</v>
      </c>
      <c r="B30" s="25"/>
      <c r="C30" s="25"/>
      <c r="D30" s="26"/>
      <c r="F30" s="5"/>
      <c r="G30" s="25"/>
      <c r="H30" s="102"/>
      <c r="I30" s="26"/>
      <c r="K30" s="5"/>
      <c r="L30" s="25"/>
      <c r="M30" s="26"/>
      <c r="N30" s="26"/>
    </row>
    <row r="31" spans="1:19" ht="15" thickBot="1" x14ac:dyDescent="0.4"/>
    <row r="32" spans="1:19" ht="16" thickBot="1" x14ac:dyDescent="0.4">
      <c r="A32" s="100" t="s">
        <v>278</v>
      </c>
      <c r="B32" s="101"/>
      <c r="C32" s="101"/>
      <c r="D32" s="186">
        <v>0.505</v>
      </c>
      <c r="F32" s="42" t="s">
        <v>314</v>
      </c>
      <c r="G32" s="43"/>
      <c r="H32" s="43"/>
      <c r="I32" s="108">
        <v>0.47</v>
      </c>
      <c r="K32" s="42" t="s">
        <v>135</v>
      </c>
      <c r="L32" s="43"/>
      <c r="M32" s="43"/>
      <c r="N32" s="66">
        <v>0.43</v>
      </c>
      <c r="P32" s="171"/>
      <c r="Q32" s="171"/>
      <c r="R32" s="171"/>
      <c r="S32" s="172"/>
    </row>
    <row r="34" spans="1:19" x14ac:dyDescent="0.35">
      <c r="C34" s="44" t="s">
        <v>64</v>
      </c>
    </row>
    <row r="35" spans="1:19" x14ac:dyDescent="0.35">
      <c r="S35" s="88"/>
    </row>
    <row r="36" spans="1:19" x14ac:dyDescent="0.35">
      <c r="A36" s="5" t="s">
        <v>151</v>
      </c>
      <c r="B36" s="5"/>
      <c r="C36" s="5"/>
      <c r="D36" s="26">
        <v>0.45</v>
      </c>
      <c r="F36" s="5" t="s">
        <v>391</v>
      </c>
      <c r="G36" s="5"/>
      <c r="H36" s="5"/>
      <c r="I36" s="102">
        <v>0.47</v>
      </c>
      <c r="K36" s="5" t="s">
        <v>151</v>
      </c>
      <c r="L36" s="5"/>
      <c r="M36" s="5"/>
      <c r="N36" s="25">
        <v>0.36</v>
      </c>
      <c r="S36" s="88"/>
    </row>
    <row r="37" spans="1:19" x14ac:dyDescent="0.35">
      <c r="N37" s="49"/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7"/>
  <sheetViews>
    <sheetView topLeftCell="A49" zoomScale="80" zoomScaleNormal="80" workbookViewId="0">
      <selection activeCell="D76" sqref="D76"/>
    </sheetView>
  </sheetViews>
  <sheetFormatPr baseColWidth="10" defaultRowHeight="14.5" x14ac:dyDescent="0.35"/>
  <cols>
    <col min="1" max="1" width="29.6328125" customWidth="1"/>
    <col min="2" max="2" width="14.54296875" customWidth="1"/>
    <col min="3" max="3" width="2.6328125" customWidth="1"/>
    <col min="4" max="4" width="37.1796875" customWidth="1"/>
    <col min="5" max="5" width="20.90625" customWidth="1"/>
    <col min="6" max="6" width="3" customWidth="1"/>
    <col min="7" max="7" width="30.36328125" customWidth="1"/>
    <col min="8" max="8" width="16.54296875" customWidth="1"/>
    <col min="9" max="9" width="2.36328125" customWidth="1"/>
    <col min="10" max="10" width="24" customWidth="1"/>
    <col min="11" max="11" width="10.08984375" customWidth="1"/>
  </cols>
  <sheetData>
    <row r="1" spans="1:10" ht="33.5" x14ac:dyDescent="0.75">
      <c r="A1" s="33" t="s">
        <v>336</v>
      </c>
    </row>
    <row r="2" spans="1:10" ht="33.5" x14ac:dyDescent="0.75">
      <c r="A2" s="33"/>
    </row>
    <row r="4" spans="1:10" x14ac:dyDescent="0.35">
      <c r="J4" s="76"/>
    </row>
    <row r="5" spans="1:10" ht="15" thickBot="1" x14ac:dyDescent="0.4"/>
    <row r="6" spans="1:10" ht="24" thickBot="1" x14ac:dyDescent="0.6">
      <c r="A6" s="27" t="s">
        <v>341</v>
      </c>
      <c r="B6" s="28"/>
      <c r="D6" s="29" t="s">
        <v>282</v>
      </c>
      <c r="E6" s="30"/>
      <c r="G6" s="50" t="s">
        <v>152</v>
      </c>
      <c r="H6" s="51"/>
    </row>
    <row r="7" spans="1:10" x14ac:dyDescent="0.35">
      <c r="A7" s="45"/>
      <c r="B7" s="46"/>
      <c r="D7" s="45"/>
      <c r="E7" s="46"/>
      <c r="G7" s="64"/>
      <c r="H7" s="65"/>
    </row>
    <row r="8" spans="1:10" x14ac:dyDescent="0.35">
      <c r="A8" s="47" t="s">
        <v>283</v>
      </c>
      <c r="B8" s="48">
        <v>0.05</v>
      </c>
      <c r="D8" s="47" t="s">
        <v>49</v>
      </c>
      <c r="E8" s="48">
        <v>0.05</v>
      </c>
      <c r="G8" s="47" t="s">
        <v>65</v>
      </c>
      <c r="H8" s="48">
        <v>0.05</v>
      </c>
    </row>
    <row r="9" spans="1:10" x14ac:dyDescent="0.35">
      <c r="A9" s="47" t="s">
        <v>284</v>
      </c>
      <c r="B9" s="48">
        <v>0.06</v>
      </c>
      <c r="D9" s="47" t="s">
        <v>50</v>
      </c>
      <c r="E9" s="48">
        <v>0.06</v>
      </c>
      <c r="G9" s="47" t="s">
        <v>96</v>
      </c>
      <c r="H9" s="48">
        <v>5.5E-2</v>
      </c>
    </row>
    <row r="10" spans="1:10" x14ac:dyDescent="0.35">
      <c r="A10" s="47" t="s">
        <v>285</v>
      </c>
      <c r="B10" s="48">
        <v>7.0000000000000007E-2</v>
      </c>
      <c r="D10" s="47" t="s">
        <v>34</v>
      </c>
      <c r="E10" s="48">
        <v>7.0000000000000007E-2</v>
      </c>
      <c r="G10" s="47" t="s">
        <v>34</v>
      </c>
      <c r="H10" s="48">
        <v>0.06</v>
      </c>
    </row>
    <row r="11" spans="1:10" x14ac:dyDescent="0.35">
      <c r="A11" s="47" t="s">
        <v>286</v>
      </c>
      <c r="B11" s="48">
        <v>7.4999999999999997E-2</v>
      </c>
      <c r="D11" s="47" t="s">
        <v>51</v>
      </c>
      <c r="E11" s="48">
        <v>0.08</v>
      </c>
      <c r="G11" s="47" t="s">
        <v>38</v>
      </c>
      <c r="H11" s="48">
        <v>6.5000000000000002E-2</v>
      </c>
    </row>
    <row r="12" spans="1:10" x14ac:dyDescent="0.35">
      <c r="A12" s="47" t="s">
        <v>287</v>
      </c>
      <c r="B12" s="48">
        <v>0.08</v>
      </c>
      <c r="D12" s="47" t="s">
        <v>52</v>
      </c>
      <c r="E12" s="48">
        <v>0.1</v>
      </c>
      <c r="G12" s="47" t="s">
        <v>35</v>
      </c>
      <c r="H12" s="48">
        <v>7.0000000000000007E-2</v>
      </c>
    </row>
    <row r="13" spans="1:10" x14ac:dyDescent="0.35">
      <c r="A13" s="5" t="s">
        <v>288</v>
      </c>
      <c r="B13" s="26">
        <v>8.5000000000000006E-2</v>
      </c>
      <c r="D13" s="47" t="s">
        <v>126</v>
      </c>
      <c r="E13" s="48">
        <v>0.12</v>
      </c>
      <c r="G13" s="47" t="s">
        <v>36</v>
      </c>
      <c r="H13" s="48">
        <v>0.08</v>
      </c>
    </row>
    <row r="14" spans="1:10" x14ac:dyDescent="0.35">
      <c r="A14" s="5" t="s">
        <v>289</v>
      </c>
      <c r="B14" s="26">
        <v>0.09</v>
      </c>
      <c r="D14" s="47"/>
      <c r="E14" s="48"/>
      <c r="G14" s="47" t="s">
        <v>37</v>
      </c>
      <c r="H14" s="48">
        <v>0.09</v>
      </c>
    </row>
    <row r="15" spans="1:10" x14ac:dyDescent="0.35">
      <c r="A15" s="5" t="s">
        <v>290</v>
      </c>
      <c r="B15" s="26">
        <v>9.5000000000000001E-2</v>
      </c>
      <c r="E15" s="49"/>
    </row>
    <row r="16" spans="1:10" x14ac:dyDescent="0.35">
      <c r="A16" s="5" t="s">
        <v>35</v>
      </c>
      <c r="B16" s="26">
        <v>0.1</v>
      </c>
      <c r="D16" s="52" t="s">
        <v>66</v>
      </c>
      <c r="E16" s="176"/>
      <c r="G16" s="52" t="s">
        <v>66</v>
      </c>
      <c r="H16" s="176"/>
    </row>
    <row r="17" spans="1:8" x14ac:dyDescent="0.35">
      <c r="B17" s="49"/>
      <c r="D17" s="47"/>
      <c r="E17" s="48"/>
      <c r="G17" s="47" t="s">
        <v>147</v>
      </c>
      <c r="H17" s="48">
        <v>5.0000000000000001E-3</v>
      </c>
    </row>
    <row r="18" spans="1:8" x14ac:dyDescent="0.35">
      <c r="A18" s="82" t="s">
        <v>63</v>
      </c>
      <c r="B18" s="83">
        <v>0.1</v>
      </c>
      <c r="D18" s="47" t="s">
        <v>68</v>
      </c>
      <c r="E18" s="48">
        <v>0.02</v>
      </c>
      <c r="G18" s="47" t="s">
        <v>127</v>
      </c>
      <c r="H18" s="48">
        <v>0.01</v>
      </c>
    </row>
    <row r="19" spans="1:8" x14ac:dyDescent="0.35">
      <c r="B19" s="49"/>
      <c r="E19" s="49"/>
      <c r="G19" s="47" t="s">
        <v>143</v>
      </c>
      <c r="H19" s="48">
        <v>1.4999999999999999E-2</v>
      </c>
    </row>
    <row r="20" spans="1:8" ht="15" thickBot="1" x14ac:dyDescent="0.4">
      <c r="B20" s="49"/>
      <c r="D20" s="159"/>
      <c r="E20" s="76"/>
      <c r="G20" s="47" t="s">
        <v>120</v>
      </c>
      <c r="H20" s="48">
        <v>0.02</v>
      </c>
    </row>
    <row r="21" spans="1:8" ht="15" thickBot="1" x14ac:dyDescent="0.4">
      <c r="A21" s="68" t="s">
        <v>342</v>
      </c>
      <c r="B21" s="69"/>
      <c r="D21" s="68" t="s">
        <v>337</v>
      </c>
      <c r="E21" s="69"/>
      <c r="G21" s="47" t="s">
        <v>67</v>
      </c>
      <c r="H21" s="48">
        <v>2.5000000000000001E-2</v>
      </c>
    </row>
    <row r="22" spans="1:8" ht="15" thickBot="1" x14ac:dyDescent="0.4">
      <c r="B22" s="49"/>
      <c r="G22" s="47" t="s">
        <v>121</v>
      </c>
      <c r="H22" s="48">
        <v>0.03</v>
      </c>
    </row>
    <row r="23" spans="1:8" ht="15" thickBot="1" x14ac:dyDescent="0.4">
      <c r="B23" s="49"/>
      <c r="D23" s="70" t="s">
        <v>128</v>
      </c>
      <c r="E23" s="71">
        <v>0.14000000000000001</v>
      </c>
      <c r="G23" s="47" t="s">
        <v>122</v>
      </c>
      <c r="H23" s="48">
        <v>3.5000000000000003E-2</v>
      </c>
    </row>
    <row r="24" spans="1:8" ht="15" thickBot="1" x14ac:dyDescent="0.4">
      <c r="B24" s="49"/>
      <c r="H24" s="49"/>
    </row>
    <row r="25" spans="1:8" ht="15" thickBot="1" x14ac:dyDescent="0.4">
      <c r="B25" s="49"/>
      <c r="G25" s="68" t="s">
        <v>338</v>
      </c>
      <c r="H25" s="69"/>
    </row>
    <row r="26" spans="1:8" ht="15" thickBot="1" x14ac:dyDescent="0.4">
      <c r="B26" s="49"/>
    </row>
    <row r="27" spans="1:8" ht="15" thickBot="1" x14ac:dyDescent="0.4">
      <c r="G27" s="70" t="s">
        <v>128</v>
      </c>
      <c r="H27" s="71">
        <v>0.125</v>
      </c>
    </row>
    <row r="28" spans="1:8" ht="15" thickBot="1" x14ac:dyDescent="0.4"/>
    <row r="29" spans="1:8" ht="24" thickBot="1" x14ac:dyDescent="0.6">
      <c r="A29" s="31" t="s">
        <v>343</v>
      </c>
      <c r="B29" s="32"/>
      <c r="D29" s="72" t="s">
        <v>153</v>
      </c>
      <c r="E29" s="61"/>
      <c r="G29" s="56" t="s">
        <v>281</v>
      </c>
      <c r="H29" s="57"/>
    </row>
    <row r="30" spans="1:8" x14ac:dyDescent="0.35">
      <c r="A30" s="45"/>
      <c r="B30" s="46"/>
      <c r="D30" s="64"/>
      <c r="E30" s="65"/>
      <c r="G30" s="45"/>
      <c r="H30" s="46"/>
    </row>
    <row r="31" spans="1:8" x14ac:dyDescent="0.35">
      <c r="A31" s="47" t="s">
        <v>70</v>
      </c>
      <c r="B31" s="48">
        <v>0.05</v>
      </c>
      <c r="D31" s="47" t="s">
        <v>49</v>
      </c>
      <c r="E31" s="48">
        <v>0.05</v>
      </c>
      <c r="G31" s="47" t="s">
        <v>49</v>
      </c>
      <c r="H31" s="48">
        <v>0.05</v>
      </c>
    </row>
    <row r="32" spans="1:8" x14ac:dyDescent="0.35">
      <c r="A32" s="47" t="s">
        <v>50</v>
      </c>
      <c r="B32" s="48">
        <f>B31+0.5%</f>
        <v>5.5E-2</v>
      </c>
      <c r="D32" s="47" t="s">
        <v>50</v>
      </c>
      <c r="E32" s="48">
        <v>0.06</v>
      </c>
      <c r="G32" s="47" t="s">
        <v>50</v>
      </c>
      <c r="H32" s="48">
        <v>0.06</v>
      </c>
    </row>
    <row r="33" spans="1:11" x14ac:dyDescent="0.35">
      <c r="A33" s="47" t="s">
        <v>34</v>
      </c>
      <c r="B33" s="48">
        <f>B32+0.5%</f>
        <v>0.06</v>
      </c>
      <c r="D33" s="47" t="s">
        <v>34</v>
      </c>
      <c r="E33" s="48">
        <v>7.0000000000000007E-2</v>
      </c>
      <c r="G33" s="47" t="s">
        <v>34</v>
      </c>
      <c r="H33" s="48">
        <v>7.0000000000000007E-2</v>
      </c>
    </row>
    <row r="34" spans="1:11" x14ac:dyDescent="0.35">
      <c r="A34" s="47" t="s">
        <v>38</v>
      </c>
      <c r="B34" s="48">
        <f>B33+0.5%</f>
        <v>6.5000000000000002E-2</v>
      </c>
      <c r="D34" s="47" t="s">
        <v>51</v>
      </c>
      <c r="E34" s="48">
        <v>0.08</v>
      </c>
      <c r="G34" s="47" t="s">
        <v>51</v>
      </c>
      <c r="H34" s="48">
        <v>0.08</v>
      </c>
    </row>
    <row r="35" spans="1:11" x14ac:dyDescent="0.35">
      <c r="A35" s="47" t="s">
        <v>129</v>
      </c>
      <c r="B35" s="48">
        <f>B34+0.5%</f>
        <v>7.0000000000000007E-2</v>
      </c>
      <c r="D35" s="47" t="s">
        <v>38</v>
      </c>
      <c r="E35" s="48">
        <v>0.09</v>
      </c>
      <c r="G35" s="47" t="s">
        <v>38</v>
      </c>
      <c r="H35" s="48">
        <v>0.09</v>
      </c>
    </row>
    <row r="36" spans="1:11" x14ac:dyDescent="0.35">
      <c r="A36" s="47" t="s">
        <v>35</v>
      </c>
      <c r="B36" s="48">
        <f>B35+0.5%</f>
        <v>7.5000000000000011E-2</v>
      </c>
      <c r="D36" s="45"/>
      <c r="E36" s="46"/>
      <c r="G36" s="47"/>
      <c r="H36" s="48"/>
    </row>
    <row r="37" spans="1:11" x14ac:dyDescent="0.35">
      <c r="A37" s="58"/>
      <c r="B37" s="59"/>
      <c r="D37" s="45"/>
      <c r="E37" s="46"/>
      <c r="G37" s="47"/>
      <c r="H37" s="48"/>
    </row>
    <row r="38" spans="1:11" x14ac:dyDescent="0.35">
      <c r="A38" s="58"/>
      <c r="B38" s="59"/>
      <c r="D38" s="45"/>
      <c r="E38" s="46"/>
      <c r="G38" s="47"/>
      <c r="H38" s="48"/>
    </row>
    <row r="39" spans="1:11" x14ac:dyDescent="0.35">
      <c r="A39" s="52" t="s">
        <v>66</v>
      </c>
      <c r="B39" s="176"/>
      <c r="D39" s="160" t="s">
        <v>66</v>
      </c>
      <c r="E39" s="161"/>
      <c r="G39" s="52" t="s">
        <v>66</v>
      </c>
      <c r="H39" s="53"/>
      <c r="K39" s="162"/>
    </row>
    <row r="40" spans="1:11" x14ac:dyDescent="0.35">
      <c r="A40" s="47" t="s">
        <v>68</v>
      </c>
      <c r="B40" s="48">
        <v>0.01</v>
      </c>
      <c r="G40" s="47"/>
      <c r="H40" s="48"/>
      <c r="K40" s="162"/>
    </row>
    <row r="41" spans="1:11" x14ac:dyDescent="0.35">
      <c r="A41" s="47" t="s">
        <v>69</v>
      </c>
      <c r="B41" s="48">
        <v>0.02</v>
      </c>
      <c r="D41" s="5" t="s">
        <v>344</v>
      </c>
      <c r="E41" s="62" t="s">
        <v>144</v>
      </c>
      <c r="G41" s="5" t="s">
        <v>291</v>
      </c>
      <c r="H41" s="26">
        <v>0.01</v>
      </c>
      <c r="K41" s="162"/>
    </row>
    <row r="42" spans="1:11" x14ac:dyDescent="0.35">
      <c r="A42" s="47" t="s">
        <v>71</v>
      </c>
      <c r="B42" s="48">
        <v>2.5000000000000001E-2</v>
      </c>
      <c r="D42" s="5"/>
      <c r="E42" s="26"/>
      <c r="H42" s="49"/>
      <c r="K42" s="162"/>
    </row>
    <row r="43" spans="1:11" x14ac:dyDescent="0.35">
      <c r="A43" s="47" t="s">
        <v>145</v>
      </c>
      <c r="B43" s="26">
        <v>2.75E-2</v>
      </c>
      <c r="D43" s="82" t="s">
        <v>292</v>
      </c>
      <c r="E43" s="83">
        <v>0.11</v>
      </c>
      <c r="G43" s="82" t="s">
        <v>63</v>
      </c>
      <c r="H43" s="83">
        <v>0.1</v>
      </c>
      <c r="K43" s="162"/>
    </row>
    <row r="44" spans="1:11" ht="15" thickBot="1" x14ac:dyDescent="0.4">
      <c r="A44" s="47" t="s">
        <v>146</v>
      </c>
      <c r="B44" s="26">
        <v>0.03</v>
      </c>
      <c r="E44" s="49"/>
      <c r="K44" s="162"/>
    </row>
    <row r="45" spans="1:11" ht="15" thickBot="1" x14ac:dyDescent="0.4">
      <c r="A45" s="47" t="s">
        <v>147</v>
      </c>
      <c r="B45" s="26">
        <v>3.5000000000000003E-2</v>
      </c>
      <c r="D45" s="163" t="s">
        <v>339</v>
      </c>
      <c r="E45" s="107"/>
      <c r="G45" s="68" t="s">
        <v>345</v>
      </c>
      <c r="H45" s="69"/>
      <c r="K45" s="162"/>
    </row>
    <row r="46" spans="1:11" x14ac:dyDescent="0.35">
      <c r="A46" s="47" t="s">
        <v>127</v>
      </c>
      <c r="B46" s="26">
        <v>0.04</v>
      </c>
      <c r="E46" s="49"/>
      <c r="H46" s="49"/>
    </row>
    <row r="47" spans="1:11" x14ac:dyDescent="0.35">
      <c r="A47" s="45"/>
      <c r="B47" s="46"/>
      <c r="E47" s="49"/>
    </row>
    <row r="48" spans="1:11" x14ac:dyDescent="0.35">
      <c r="A48" s="45"/>
      <c r="B48" s="46"/>
      <c r="E48" s="49"/>
    </row>
    <row r="49" spans="1:8" ht="15" thickBot="1" x14ac:dyDescent="0.4">
      <c r="A49" s="54" t="s">
        <v>128</v>
      </c>
      <c r="B49" s="55">
        <v>0.115</v>
      </c>
      <c r="D49" s="76"/>
      <c r="E49" s="164"/>
    </row>
    <row r="50" spans="1:8" ht="15" thickBot="1" x14ac:dyDescent="0.4"/>
    <row r="51" spans="1:8" ht="15" thickBot="1" x14ac:dyDescent="0.4">
      <c r="A51" s="68" t="s">
        <v>293</v>
      </c>
      <c r="B51" s="69"/>
    </row>
    <row r="52" spans="1:8" x14ac:dyDescent="0.35">
      <c r="B52" s="49"/>
    </row>
    <row r="53" spans="1:8" ht="15" thickBot="1" x14ac:dyDescent="0.4"/>
    <row r="54" spans="1:8" ht="24" thickBot="1" x14ac:dyDescent="0.6">
      <c r="A54" s="31" t="s">
        <v>346</v>
      </c>
      <c r="B54" s="32"/>
      <c r="D54" s="29" t="s">
        <v>294</v>
      </c>
      <c r="E54" s="30"/>
      <c r="G54" s="73" t="s">
        <v>295</v>
      </c>
      <c r="H54" s="74"/>
    </row>
    <row r="55" spans="1:8" ht="15" thickBot="1" x14ac:dyDescent="0.4">
      <c r="A55" s="45"/>
      <c r="B55" s="46"/>
      <c r="D55" s="45"/>
      <c r="E55" s="46"/>
      <c r="G55" s="47"/>
      <c r="H55" s="48"/>
    </row>
    <row r="56" spans="1:8" x14ac:dyDescent="0.35">
      <c r="A56" s="177" t="s">
        <v>347</v>
      </c>
      <c r="B56" s="178">
        <v>0.05</v>
      </c>
      <c r="D56" s="47"/>
      <c r="E56" s="48"/>
      <c r="G56" s="47" t="s">
        <v>296</v>
      </c>
      <c r="H56" s="48">
        <v>0.05</v>
      </c>
    </row>
    <row r="57" spans="1:8" x14ac:dyDescent="0.35">
      <c r="A57" s="47" t="s">
        <v>348</v>
      </c>
      <c r="B57" s="48">
        <v>0.06</v>
      </c>
      <c r="D57" s="47" t="s">
        <v>49</v>
      </c>
      <c r="E57" s="48">
        <v>0.05</v>
      </c>
      <c r="G57" s="47" t="s">
        <v>297</v>
      </c>
      <c r="H57" s="48">
        <v>0.06</v>
      </c>
    </row>
    <row r="58" spans="1:8" x14ac:dyDescent="0.35">
      <c r="A58" s="47" t="s">
        <v>349</v>
      </c>
      <c r="B58" s="48">
        <v>7.0000000000000007E-2</v>
      </c>
      <c r="D58" s="47" t="s">
        <v>50</v>
      </c>
      <c r="E58" s="48">
        <v>0.06</v>
      </c>
      <c r="G58" s="47" t="s">
        <v>298</v>
      </c>
      <c r="H58" s="48">
        <v>7.0000000000000007E-2</v>
      </c>
    </row>
    <row r="59" spans="1:8" x14ac:dyDescent="0.35">
      <c r="A59" s="47" t="s">
        <v>350</v>
      </c>
      <c r="B59" s="48">
        <v>0.08</v>
      </c>
      <c r="D59" s="47" t="s">
        <v>34</v>
      </c>
      <c r="E59" s="48">
        <v>7.0000000000000007E-2</v>
      </c>
      <c r="G59" s="47" t="s">
        <v>299</v>
      </c>
      <c r="H59" s="48">
        <v>7.4999999999999997E-2</v>
      </c>
    </row>
    <row r="60" spans="1:8" x14ac:dyDescent="0.35">
      <c r="A60" s="47" t="s">
        <v>351</v>
      </c>
      <c r="B60" s="48">
        <v>0.09</v>
      </c>
      <c r="D60" s="47" t="s">
        <v>51</v>
      </c>
      <c r="E60" s="48">
        <v>0.08</v>
      </c>
      <c r="G60" s="47" t="s">
        <v>300</v>
      </c>
      <c r="H60" s="48">
        <v>0.08</v>
      </c>
    </row>
    <row r="61" spans="1:8" ht="15" thickBot="1" x14ac:dyDescent="0.4">
      <c r="A61" s="165" t="s">
        <v>352</v>
      </c>
      <c r="B61" s="166">
        <v>0.1</v>
      </c>
      <c r="D61" s="165" t="s">
        <v>301</v>
      </c>
      <c r="E61" s="166">
        <v>0.1</v>
      </c>
      <c r="G61" s="47" t="s">
        <v>302</v>
      </c>
      <c r="H61" s="48">
        <v>8.5000000000000006E-2</v>
      </c>
    </row>
    <row r="62" spans="1:8" ht="15" thickBot="1" x14ac:dyDescent="0.4">
      <c r="G62" s="47" t="s">
        <v>303</v>
      </c>
      <c r="H62" s="48">
        <v>0.09</v>
      </c>
    </row>
    <row r="63" spans="1:8" ht="15" thickBot="1" x14ac:dyDescent="0.4">
      <c r="A63" s="70" t="s">
        <v>63</v>
      </c>
      <c r="B63" s="71">
        <v>0.1</v>
      </c>
      <c r="G63" s="47" t="s">
        <v>304</v>
      </c>
      <c r="H63" s="48">
        <v>9.5000000000000001E-2</v>
      </c>
    </row>
    <row r="64" spans="1:8" ht="15" thickBot="1" x14ac:dyDescent="0.4">
      <c r="G64" s="47"/>
      <c r="H64" s="75"/>
    </row>
    <row r="65" spans="1:8" ht="15" thickBot="1" x14ac:dyDescent="0.4">
      <c r="A65" s="68" t="s">
        <v>293</v>
      </c>
      <c r="B65" s="69"/>
      <c r="D65" s="68" t="s">
        <v>293</v>
      </c>
      <c r="E65" s="69"/>
      <c r="G65" s="68" t="s">
        <v>293</v>
      </c>
      <c r="H65" s="69"/>
    </row>
    <row r="67" spans="1:8" x14ac:dyDescent="0.35">
      <c r="G67" s="52" t="s">
        <v>66</v>
      </c>
      <c r="H67" s="53"/>
    </row>
    <row r="68" spans="1:8" ht="23.5" x14ac:dyDescent="0.55000000000000004">
      <c r="A68" s="199"/>
      <c r="B68" s="199"/>
      <c r="G68" s="47"/>
      <c r="H68" s="48"/>
    </row>
    <row r="69" spans="1:8" x14ac:dyDescent="0.35">
      <c r="A69" s="200"/>
      <c r="B69" s="200"/>
      <c r="G69" s="5" t="s">
        <v>305</v>
      </c>
      <c r="H69" s="26">
        <v>0.01</v>
      </c>
    </row>
    <row r="70" spans="1:8" x14ac:dyDescent="0.35">
      <c r="A70" s="200"/>
      <c r="B70" s="201"/>
      <c r="H70" s="49"/>
    </row>
    <row r="71" spans="1:8" x14ac:dyDescent="0.35">
      <c r="A71" s="200"/>
      <c r="B71" s="201"/>
      <c r="G71" s="82" t="s">
        <v>63</v>
      </c>
      <c r="H71" s="83">
        <v>0.105</v>
      </c>
    </row>
    <row r="72" spans="1:8" ht="15" thickBot="1" x14ac:dyDescent="0.4">
      <c r="A72" s="200"/>
      <c r="B72" s="201"/>
    </row>
    <row r="73" spans="1:8" ht="15" thickBot="1" x14ac:dyDescent="0.4">
      <c r="A73" s="200"/>
      <c r="B73" s="201"/>
      <c r="G73" s="68" t="s">
        <v>293</v>
      </c>
      <c r="H73" s="69"/>
    </row>
    <row r="74" spans="1:8" x14ac:dyDescent="0.35">
      <c r="A74" s="200"/>
      <c r="B74" s="201"/>
    </row>
    <row r="75" spans="1:8" x14ac:dyDescent="0.35">
      <c r="A75" s="200"/>
      <c r="B75" s="201"/>
    </row>
    <row r="76" spans="1:8" x14ac:dyDescent="0.35">
      <c r="A76" s="200"/>
      <c r="B76" s="200"/>
    </row>
    <row r="77" spans="1:8" x14ac:dyDescent="0.35">
      <c r="A77" s="202"/>
      <c r="B77" s="203"/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58"/>
  <sheetViews>
    <sheetView topLeftCell="L1" zoomScaleNormal="100" workbookViewId="0">
      <selection activeCell="O39" sqref="O39"/>
    </sheetView>
  </sheetViews>
  <sheetFormatPr baseColWidth="10" defaultColWidth="9.1796875" defaultRowHeight="14.5" x14ac:dyDescent="0.35"/>
  <cols>
    <col min="1" max="1" width="15.81640625" customWidth="1"/>
    <col min="2" max="2" width="12.1796875" style="8" customWidth="1"/>
    <col min="3" max="3" width="37.81640625" customWidth="1"/>
    <col min="4" max="5" width="12.54296875" customWidth="1"/>
    <col min="6" max="6" width="10.54296875" customWidth="1"/>
    <col min="7" max="7" width="33.81640625" customWidth="1"/>
    <col min="8" max="8" width="10.54296875" customWidth="1"/>
    <col min="9" max="9" width="13.26953125" customWidth="1"/>
    <col min="10" max="10" width="10.54296875" style="8" customWidth="1"/>
    <col min="11" max="11" width="43.54296875" customWidth="1"/>
    <col min="12" max="12" width="12.54296875" customWidth="1"/>
    <col min="13" max="13" width="13" customWidth="1"/>
    <col min="14" max="14" width="10.54296875" customWidth="1"/>
    <col min="15" max="15" width="44.26953125" bestFit="1" customWidth="1"/>
    <col min="16" max="16" width="9.1796875" bestFit="1" customWidth="1"/>
    <col min="17" max="17" width="13.26953125" customWidth="1"/>
    <col min="18" max="18" width="13.81640625" style="8" customWidth="1"/>
    <col min="19" max="19" width="7" style="8" customWidth="1"/>
    <col min="20" max="20" width="26.1796875" style="8" customWidth="1"/>
    <col min="21" max="21" width="37.81640625" customWidth="1"/>
    <col min="23" max="23" width="12.54296875" customWidth="1"/>
    <col min="25" max="25" width="5.453125" customWidth="1"/>
    <col min="26" max="26" width="39.81640625" customWidth="1"/>
    <col min="27" max="27" width="13.453125" hidden="1" customWidth="1"/>
    <col min="29" max="29" width="11.54296875" customWidth="1"/>
    <col min="32" max="32" width="12.81640625" customWidth="1"/>
    <col min="33" max="33" width="26.81640625" customWidth="1"/>
    <col min="34" max="34" width="9.1796875" style="8"/>
    <col min="35" max="35" width="11.54296875" style="8" customWidth="1"/>
    <col min="36" max="36" width="9.1796875" style="8"/>
    <col min="38" max="38" width="12.81640625" customWidth="1"/>
    <col min="39" max="39" width="26.81640625" customWidth="1"/>
    <col min="40" max="40" width="9.1796875" style="8"/>
    <col min="41" max="41" width="11.54296875" style="8" customWidth="1"/>
    <col min="42" max="42" width="9.1796875" style="8"/>
  </cols>
  <sheetData>
    <row r="1" spans="1:42" ht="5.25" customHeight="1" x14ac:dyDescent="0.35"/>
    <row r="2" spans="1:42" ht="15" thickBot="1" x14ac:dyDescent="0.4">
      <c r="D2" s="1" t="s">
        <v>8</v>
      </c>
      <c r="E2" s="2">
        <v>0.45</v>
      </c>
      <c r="H2" s="1" t="s">
        <v>8</v>
      </c>
      <c r="I2" s="2">
        <v>0.45700000000000002</v>
      </c>
      <c r="L2" s="1" t="s">
        <v>8</v>
      </c>
      <c r="M2" s="2">
        <v>0.44</v>
      </c>
      <c r="P2" s="1" t="s">
        <v>8</v>
      </c>
      <c r="Q2" s="2">
        <v>0.505</v>
      </c>
      <c r="V2" s="80" t="s">
        <v>8</v>
      </c>
      <c r="W2" s="81">
        <v>0.42</v>
      </c>
      <c r="X2" s="81"/>
      <c r="Y2" s="76"/>
      <c r="AB2" s="1" t="s">
        <v>8</v>
      </c>
      <c r="AC2" s="2">
        <v>0.47</v>
      </c>
      <c r="AH2" s="77" t="s">
        <v>327</v>
      </c>
      <c r="AI2" s="78">
        <v>0.43</v>
      </c>
      <c r="AN2" s="77" t="s">
        <v>327</v>
      </c>
      <c r="AO2" s="78">
        <v>0.75</v>
      </c>
    </row>
    <row r="3" spans="1:42" ht="15" thickTop="1" x14ac:dyDescent="0.35">
      <c r="C3" t="s">
        <v>0</v>
      </c>
    </row>
    <row r="4" spans="1:42" ht="18.5" x14ac:dyDescent="0.45">
      <c r="C4" s="193" t="s">
        <v>95</v>
      </c>
      <c r="D4" s="193"/>
      <c r="E4" s="193"/>
      <c r="F4" s="193"/>
      <c r="G4" s="196" t="s">
        <v>2</v>
      </c>
      <c r="H4" s="196"/>
      <c r="I4" s="196"/>
      <c r="J4" s="197"/>
      <c r="K4" s="198" t="s">
        <v>1</v>
      </c>
      <c r="L4" s="198"/>
      <c r="M4" s="198"/>
      <c r="N4" s="198"/>
      <c r="O4" s="195" t="s">
        <v>3</v>
      </c>
      <c r="P4" s="195"/>
      <c r="Q4" s="195"/>
      <c r="R4" s="195"/>
      <c r="S4" s="152"/>
      <c r="T4" s="152"/>
      <c r="U4" s="194" t="s">
        <v>22</v>
      </c>
      <c r="V4" s="194"/>
      <c r="W4" s="194"/>
      <c r="X4" s="194"/>
      <c r="Z4" s="191" t="s">
        <v>94</v>
      </c>
      <c r="AA4" s="192"/>
      <c r="AB4" s="192"/>
      <c r="AC4" s="192"/>
      <c r="AD4" s="192"/>
      <c r="AF4" s="189" t="s">
        <v>134</v>
      </c>
      <c r="AG4" s="190"/>
      <c r="AH4" s="190"/>
      <c r="AI4" s="190"/>
      <c r="AJ4" s="190"/>
      <c r="AL4" s="187" t="s">
        <v>353</v>
      </c>
      <c r="AM4" s="188"/>
      <c r="AN4" s="188"/>
      <c r="AO4" s="188"/>
      <c r="AP4" s="188"/>
    </row>
    <row r="5" spans="1:42" s="4" customFormat="1" ht="24.75" customHeight="1" x14ac:dyDescent="0.35">
      <c r="A5" s="3" t="s">
        <v>10</v>
      </c>
      <c r="B5" s="3" t="s">
        <v>91</v>
      </c>
      <c r="C5" s="7" t="s">
        <v>9</v>
      </c>
      <c r="D5" s="3" t="s">
        <v>13</v>
      </c>
      <c r="E5" s="3" t="s">
        <v>14</v>
      </c>
      <c r="F5" s="3" t="s">
        <v>25</v>
      </c>
      <c r="G5" s="3" t="s">
        <v>9</v>
      </c>
      <c r="H5" s="3" t="s">
        <v>13</v>
      </c>
      <c r="I5" s="3" t="s">
        <v>14</v>
      </c>
      <c r="J5" s="3" t="s">
        <v>25</v>
      </c>
      <c r="K5" s="3" t="s">
        <v>9</v>
      </c>
      <c r="L5" s="3" t="s">
        <v>13</v>
      </c>
      <c r="M5" s="3" t="s">
        <v>14</v>
      </c>
      <c r="N5" s="3" t="s">
        <v>25</v>
      </c>
      <c r="O5" s="7" t="s">
        <v>9</v>
      </c>
      <c r="P5" s="3" t="s">
        <v>13</v>
      </c>
      <c r="Q5" s="3" t="s">
        <v>14</v>
      </c>
      <c r="R5" s="3" t="s">
        <v>25</v>
      </c>
      <c r="S5" s="3"/>
      <c r="T5" s="3" t="s">
        <v>251</v>
      </c>
      <c r="U5" s="7" t="s">
        <v>92</v>
      </c>
      <c r="V5" s="3" t="s">
        <v>13</v>
      </c>
      <c r="W5" s="3" t="s">
        <v>14</v>
      </c>
      <c r="X5" s="3" t="s">
        <v>25</v>
      </c>
      <c r="Z5" s="3" t="s">
        <v>91</v>
      </c>
      <c r="AA5" s="7" t="s">
        <v>92</v>
      </c>
      <c r="AB5" s="3" t="s">
        <v>13</v>
      </c>
      <c r="AC5" s="3" t="s">
        <v>14</v>
      </c>
      <c r="AD5" s="3" t="s">
        <v>25</v>
      </c>
      <c r="AF5" s="3" t="s">
        <v>91</v>
      </c>
      <c r="AG5" s="7" t="s">
        <v>92</v>
      </c>
      <c r="AH5" s="3" t="s">
        <v>13</v>
      </c>
      <c r="AI5" s="3" t="s">
        <v>14</v>
      </c>
      <c r="AJ5" s="3" t="s">
        <v>25</v>
      </c>
      <c r="AL5" s="3" t="s">
        <v>91</v>
      </c>
      <c r="AM5" s="7" t="s">
        <v>92</v>
      </c>
      <c r="AN5" s="3" t="s">
        <v>13</v>
      </c>
      <c r="AO5" s="3" t="s">
        <v>14</v>
      </c>
      <c r="AP5" s="3" t="s">
        <v>25</v>
      </c>
    </row>
    <row r="6" spans="1:42" x14ac:dyDescent="0.35">
      <c r="A6" s="5" t="s">
        <v>11</v>
      </c>
      <c r="B6" s="62" t="s">
        <v>72</v>
      </c>
      <c r="C6" s="5" t="s">
        <v>196</v>
      </c>
      <c r="D6" s="21">
        <v>1682</v>
      </c>
      <c r="E6" s="6">
        <f>D6*(100%-E$2)</f>
        <v>925.1</v>
      </c>
      <c r="F6" s="20">
        <v>100</v>
      </c>
      <c r="G6" s="5" t="s">
        <v>93</v>
      </c>
      <c r="H6" s="60">
        <v>1420</v>
      </c>
      <c r="I6" s="6">
        <f>H6*(100%-I$2)</f>
        <v>771.06</v>
      </c>
      <c r="J6" s="20">
        <f>I6*100/E6</f>
        <v>83.348827153821205</v>
      </c>
      <c r="K6" s="5" t="s">
        <v>130</v>
      </c>
      <c r="L6" s="60">
        <v>1561</v>
      </c>
      <c r="M6" s="6">
        <f>L6*(100%-M$2)</f>
        <v>874.16000000000008</v>
      </c>
      <c r="N6" s="20">
        <f>M6*100/E6</f>
        <v>94.493568262890506</v>
      </c>
      <c r="O6" s="5" t="s">
        <v>106</v>
      </c>
      <c r="P6" s="60">
        <v>1680</v>
      </c>
      <c r="Q6" s="6">
        <f>P6-(P6*Q$2)</f>
        <v>831.6</v>
      </c>
      <c r="R6" s="20">
        <f>Q6*100/E6</f>
        <v>89.89298454221165</v>
      </c>
      <c r="S6" s="20"/>
      <c r="T6" s="5" t="s">
        <v>222</v>
      </c>
      <c r="U6" s="5" t="s">
        <v>364</v>
      </c>
      <c r="V6" s="182">
        <f>D6*0.87</f>
        <v>1463.34</v>
      </c>
      <c r="W6" s="182">
        <f>E6*0.87</f>
        <v>804.83699999999999</v>
      </c>
      <c r="X6" s="20">
        <f>W6*100/E6</f>
        <v>87</v>
      </c>
      <c r="Z6" s="5" t="s">
        <v>252</v>
      </c>
      <c r="AA6" s="5"/>
      <c r="AB6" s="179">
        <v>1543</v>
      </c>
      <c r="AC6" s="60">
        <f>AB6-(AB6*AC$2)</f>
        <v>817.79000000000008</v>
      </c>
      <c r="AD6" s="20">
        <f t="shared" ref="AD6:AD15" si="0">AC6*100/E6</f>
        <v>88.40017295427522</v>
      </c>
      <c r="AF6" s="5" t="s">
        <v>72</v>
      </c>
      <c r="AG6" s="5" t="s">
        <v>136</v>
      </c>
      <c r="AH6" s="62">
        <v>1118</v>
      </c>
      <c r="AI6" s="60">
        <f>AH6-(AH6*AI$2)</f>
        <v>637.26</v>
      </c>
      <c r="AJ6" s="20">
        <f t="shared" ref="AJ6:AJ15" si="1">AI6*100/E6</f>
        <v>68.885525889093074</v>
      </c>
      <c r="AL6" s="5" t="s">
        <v>72</v>
      </c>
      <c r="AM6" s="5" t="s">
        <v>367</v>
      </c>
      <c r="AN6" s="62" t="s">
        <v>328</v>
      </c>
      <c r="AO6" s="60" t="s">
        <v>328</v>
      </c>
      <c r="AP6" s="20" t="s">
        <v>328</v>
      </c>
    </row>
    <row r="7" spans="1:42" x14ac:dyDescent="0.35">
      <c r="A7" s="5" t="s">
        <v>11</v>
      </c>
      <c r="B7" s="62" t="s">
        <v>73</v>
      </c>
      <c r="C7" s="5" t="s">
        <v>197</v>
      </c>
      <c r="D7" s="21">
        <v>1812</v>
      </c>
      <c r="E7" s="6">
        <f t="shared" ref="E7:E37" si="2">D7*(100%-E$2)</f>
        <v>996.60000000000014</v>
      </c>
      <c r="F7" s="20">
        <v>100</v>
      </c>
      <c r="G7" s="5" t="s">
        <v>4</v>
      </c>
      <c r="H7" s="62">
        <v>1550</v>
      </c>
      <c r="I7" s="6">
        <f t="shared" ref="I7:I37" si="3">H7*(100%-I$2)</f>
        <v>841.64999999999986</v>
      </c>
      <c r="J7" s="20">
        <f t="shared" ref="J7:J37" si="4">I7*100/E7</f>
        <v>84.452137266706771</v>
      </c>
      <c r="K7" s="5" t="s">
        <v>130</v>
      </c>
      <c r="L7" s="60">
        <v>1698</v>
      </c>
      <c r="M7" s="6">
        <f t="shared" ref="M7:M37" si="5">L7*(100%-M$2)</f>
        <v>950.88000000000011</v>
      </c>
      <c r="N7" s="20">
        <f t="shared" ref="N7:N37" si="6">M7*100/E7</f>
        <v>95.412402167369052</v>
      </c>
      <c r="O7" s="5" t="s">
        <v>107</v>
      </c>
      <c r="P7" s="60">
        <v>1722</v>
      </c>
      <c r="Q7" s="6">
        <f t="shared" ref="Q7:Q37" si="7">P7-(P7*Q$2)</f>
        <v>852.39</v>
      </c>
      <c r="R7" s="20">
        <f t="shared" ref="R7:R37" si="8">Q7*100/E7</f>
        <v>85.529801324503296</v>
      </c>
      <c r="S7" s="20"/>
      <c r="T7" s="5" t="s">
        <v>223</v>
      </c>
      <c r="U7" s="5" t="s">
        <v>365</v>
      </c>
      <c r="V7" s="182">
        <f t="shared" ref="V7:W8" si="9">D7*0.87</f>
        <v>1576.44</v>
      </c>
      <c r="W7" s="182">
        <f t="shared" si="9"/>
        <v>867.04200000000014</v>
      </c>
      <c r="X7" s="20">
        <f t="shared" ref="X7:X37" si="10">W7*100/E7</f>
        <v>87</v>
      </c>
      <c r="Z7" s="5" t="s">
        <v>98</v>
      </c>
      <c r="AA7" s="5"/>
      <c r="AB7" s="179">
        <v>1744</v>
      </c>
      <c r="AC7" s="60">
        <f t="shared" ref="AC7:AC37" si="11">AB7-(AB7*AC$2)</f>
        <v>924.32</v>
      </c>
      <c r="AD7" s="20">
        <f t="shared" si="0"/>
        <v>92.747340959261479</v>
      </c>
      <c r="AF7" s="5" t="s">
        <v>73</v>
      </c>
      <c r="AG7" s="5" t="s">
        <v>136</v>
      </c>
      <c r="AH7" s="62">
        <v>1272</v>
      </c>
      <c r="AI7" s="60">
        <f t="shared" ref="AI7:AI37" si="12">AH7-(AH7*AI$2)</f>
        <v>725.04</v>
      </c>
      <c r="AJ7" s="20">
        <f t="shared" si="1"/>
        <v>72.75135460565923</v>
      </c>
      <c r="AL7" s="5" t="s">
        <v>73</v>
      </c>
      <c r="AM7" s="5" t="s">
        <v>368</v>
      </c>
      <c r="AN7" s="62">
        <v>2011</v>
      </c>
      <c r="AO7" s="60">
        <f t="shared" ref="AO7:AO15" si="13">AN7-(AN7*AO$2)</f>
        <v>502.75</v>
      </c>
      <c r="AP7" s="20">
        <f t="shared" ref="AP7:AP15" si="14">AO7*100/E7</f>
        <v>50.446518161749943</v>
      </c>
    </row>
    <row r="8" spans="1:42" x14ac:dyDescent="0.35">
      <c r="A8" s="5" t="s">
        <v>11</v>
      </c>
      <c r="B8" s="62" t="s">
        <v>74</v>
      </c>
      <c r="C8" s="5" t="s">
        <v>198</v>
      </c>
      <c r="D8" s="180">
        <v>1947</v>
      </c>
      <c r="E8" s="6">
        <f t="shared" si="2"/>
        <v>1070.8500000000001</v>
      </c>
      <c r="F8" s="20">
        <v>100</v>
      </c>
      <c r="G8" s="5" t="s">
        <v>5</v>
      </c>
      <c r="H8" s="62">
        <v>1702</v>
      </c>
      <c r="I8" s="6">
        <f t="shared" si="3"/>
        <v>924.18599999999992</v>
      </c>
      <c r="J8" s="20">
        <f t="shared" si="4"/>
        <v>86.303964140635927</v>
      </c>
      <c r="K8" s="148" t="s">
        <v>184</v>
      </c>
      <c r="L8" s="167">
        <v>1605</v>
      </c>
      <c r="M8" s="6">
        <f t="shared" si="5"/>
        <v>898.80000000000007</v>
      </c>
      <c r="N8" s="20">
        <f t="shared" si="6"/>
        <v>83.933323994957263</v>
      </c>
      <c r="O8" s="5" t="s">
        <v>108</v>
      </c>
      <c r="P8" s="179">
        <v>1814</v>
      </c>
      <c r="Q8" s="6">
        <f t="shared" si="7"/>
        <v>897.93</v>
      </c>
      <c r="R8" s="20">
        <f t="shared" si="8"/>
        <v>83.852080123266546</v>
      </c>
      <c r="S8" s="20"/>
      <c r="T8" s="5" t="s">
        <v>224</v>
      </c>
      <c r="U8" s="5" t="s">
        <v>329</v>
      </c>
      <c r="V8" s="182">
        <f t="shared" si="9"/>
        <v>1693.89</v>
      </c>
      <c r="W8" s="182">
        <f t="shared" si="9"/>
        <v>931.63950000000011</v>
      </c>
      <c r="X8" s="20">
        <f t="shared" ref="X8" si="15">W8*100/E8</f>
        <v>87</v>
      </c>
      <c r="Z8" s="5" t="s">
        <v>253</v>
      </c>
      <c r="AA8" s="5"/>
      <c r="AB8" s="179">
        <v>1864</v>
      </c>
      <c r="AC8" s="60">
        <f t="shared" si="11"/>
        <v>987.92000000000007</v>
      </c>
      <c r="AD8" s="20">
        <f t="shared" si="0"/>
        <v>92.255684736424328</v>
      </c>
      <c r="AF8" s="5" t="s">
        <v>74</v>
      </c>
      <c r="AG8" s="5" t="s">
        <v>136</v>
      </c>
      <c r="AH8" s="62">
        <v>1242</v>
      </c>
      <c r="AI8" s="60">
        <f t="shared" si="12"/>
        <v>707.94</v>
      </c>
      <c r="AJ8" s="20">
        <f t="shared" si="1"/>
        <v>66.11009945370499</v>
      </c>
      <c r="AL8" s="5" t="s">
        <v>74</v>
      </c>
      <c r="AM8" s="5" t="s">
        <v>367</v>
      </c>
      <c r="AN8" s="62" t="s">
        <v>328</v>
      </c>
      <c r="AO8" s="60" t="s">
        <v>328</v>
      </c>
      <c r="AP8" s="20" t="s">
        <v>328</v>
      </c>
    </row>
    <row r="9" spans="1:42" x14ac:dyDescent="0.35">
      <c r="A9" s="5" t="s">
        <v>11</v>
      </c>
      <c r="B9" s="62" t="s">
        <v>75</v>
      </c>
      <c r="C9" s="5" t="s">
        <v>199</v>
      </c>
      <c r="D9" s="21">
        <v>1830</v>
      </c>
      <c r="E9" s="6">
        <f t="shared" si="2"/>
        <v>1006.5000000000001</v>
      </c>
      <c r="F9" s="20">
        <v>100</v>
      </c>
      <c r="G9" s="5" t="s">
        <v>6</v>
      </c>
      <c r="H9" s="62">
        <v>1595</v>
      </c>
      <c r="I9" s="6">
        <f t="shared" si="3"/>
        <v>866.08499999999992</v>
      </c>
      <c r="J9" s="20">
        <f t="shared" si="4"/>
        <v>86.049180327868825</v>
      </c>
      <c r="K9" s="5" t="s">
        <v>130</v>
      </c>
      <c r="L9" s="60">
        <v>1733</v>
      </c>
      <c r="M9" s="6">
        <f t="shared" si="5"/>
        <v>970.48000000000013</v>
      </c>
      <c r="N9" s="20">
        <f t="shared" si="6"/>
        <v>96.421261798310979</v>
      </c>
      <c r="O9" s="5" t="s">
        <v>109</v>
      </c>
      <c r="P9" s="60">
        <v>1821</v>
      </c>
      <c r="Q9" s="6">
        <f t="shared" si="7"/>
        <v>901.39499999999998</v>
      </c>
      <c r="R9" s="20">
        <f t="shared" si="8"/>
        <v>89.557377049180317</v>
      </c>
      <c r="S9" s="20"/>
      <c r="T9" s="5" t="s">
        <v>225</v>
      </c>
      <c r="U9" s="5" t="s">
        <v>219</v>
      </c>
      <c r="V9" s="62">
        <v>1514</v>
      </c>
      <c r="W9" s="6">
        <f t="shared" ref="W9:W34" si="16">V9-(V9*W$2)</f>
        <v>878.12</v>
      </c>
      <c r="X9" s="20">
        <f t="shared" si="10"/>
        <v>87.244908097367102</v>
      </c>
      <c r="Z9" s="5" t="s">
        <v>254</v>
      </c>
      <c r="AA9" s="5"/>
      <c r="AB9" s="62">
        <v>1845</v>
      </c>
      <c r="AC9" s="60">
        <f t="shared" si="11"/>
        <v>977.85</v>
      </c>
      <c r="AD9" s="20">
        <f t="shared" si="0"/>
        <v>97.153502235469432</v>
      </c>
      <c r="AF9" s="5" t="s">
        <v>75</v>
      </c>
      <c r="AG9" s="5" t="s">
        <v>136</v>
      </c>
      <c r="AH9" s="62">
        <v>1129</v>
      </c>
      <c r="AI9" s="60">
        <f t="shared" si="12"/>
        <v>643.53</v>
      </c>
      <c r="AJ9" s="20">
        <f t="shared" si="1"/>
        <v>63.937406855439633</v>
      </c>
      <c r="AL9" s="5" t="s">
        <v>75</v>
      </c>
      <c r="AM9" s="5" t="s">
        <v>369</v>
      </c>
      <c r="AN9" s="62">
        <v>2066</v>
      </c>
      <c r="AO9" s="60">
        <f t="shared" si="13"/>
        <v>516.5</v>
      </c>
      <c r="AP9" s="20">
        <f t="shared" si="14"/>
        <v>51.316443119721804</v>
      </c>
    </row>
    <row r="10" spans="1:42" x14ac:dyDescent="0.35">
      <c r="A10" s="5" t="s">
        <v>11</v>
      </c>
      <c r="B10" s="62" t="s">
        <v>76</v>
      </c>
      <c r="C10" s="5" t="s">
        <v>200</v>
      </c>
      <c r="D10" s="21">
        <v>1905</v>
      </c>
      <c r="E10" s="6">
        <f t="shared" si="2"/>
        <v>1047.75</v>
      </c>
      <c r="F10" s="20">
        <v>100</v>
      </c>
      <c r="G10" s="5" t="s">
        <v>7</v>
      </c>
      <c r="H10" s="62">
        <v>1645</v>
      </c>
      <c r="I10" s="6">
        <f t="shared" si="3"/>
        <v>893.2349999999999</v>
      </c>
      <c r="J10" s="20">
        <f t="shared" si="4"/>
        <v>85.252684323550454</v>
      </c>
      <c r="K10" s="5" t="s">
        <v>130</v>
      </c>
      <c r="L10" s="60">
        <v>1929</v>
      </c>
      <c r="M10" s="6">
        <f t="shared" si="5"/>
        <v>1080.24</v>
      </c>
      <c r="N10" s="20">
        <f t="shared" si="6"/>
        <v>103.10093056549749</v>
      </c>
      <c r="O10" s="5" t="s">
        <v>110</v>
      </c>
      <c r="P10" s="60">
        <v>1674</v>
      </c>
      <c r="Q10" s="6">
        <f t="shared" si="7"/>
        <v>828.63</v>
      </c>
      <c r="R10" s="20">
        <f t="shared" si="8"/>
        <v>79.086614173228341</v>
      </c>
      <c r="S10" s="20"/>
      <c r="T10" s="5" t="s">
        <v>226</v>
      </c>
      <c r="U10" s="5" t="s">
        <v>219</v>
      </c>
      <c r="V10" s="62">
        <v>1608</v>
      </c>
      <c r="W10" s="6">
        <f t="shared" si="16"/>
        <v>932.64</v>
      </c>
      <c r="X10" s="20">
        <f t="shared" si="10"/>
        <v>89.01360057265569</v>
      </c>
      <c r="Z10" s="5" t="s">
        <v>99</v>
      </c>
      <c r="AA10" s="5"/>
      <c r="AB10" s="62">
        <v>2003</v>
      </c>
      <c r="AC10" s="60">
        <f t="shared" si="11"/>
        <v>1061.5900000000001</v>
      </c>
      <c r="AD10" s="20">
        <f t="shared" si="0"/>
        <v>101.32092579336675</v>
      </c>
      <c r="AF10" s="5" t="s">
        <v>76</v>
      </c>
      <c r="AG10" s="5" t="s">
        <v>136</v>
      </c>
      <c r="AH10" s="62">
        <v>1135</v>
      </c>
      <c r="AI10" s="60">
        <f t="shared" si="12"/>
        <v>646.95000000000005</v>
      </c>
      <c r="AJ10" s="20">
        <f t="shared" si="1"/>
        <v>61.746599856836085</v>
      </c>
      <c r="AL10" s="5" t="s">
        <v>76</v>
      </c>
      <c r="AM10" s="5" t="s">
        <v>370</v>
      </c>
      <c r="AN10" s="62">
        <v>2112</v>
      </c>
      <c r="AO10" s="60">
        <f t="shared" si="13"/>
        <v>528</v>
      </c>
      <c r="AP10" s="20">
        <f t="shared" si="14"/>
        <v>50.393700787401578</v>
      </c>
    </row>
    <row r="11" spans="1:42" x14ac:dyDescent="0.35">
      <c r="A11" s="5" t="s">
        <v>11</v>
      </c>
      <c r="B11" s="62" t="s">
        <v>77</v>
      </c>
      <c r="C11" s="5" t="s">
        <v>201</v>
      </c>
      <c r="D11" s="21">
        <v>2485</v>
      </c>
      <c r="E11" s="6">
        <f t="shared" si="2"/>
        <v>1366.75</v>
      </c>
      <c r="F11" s="20">
        <v>100</v>
      </c>
      <c r="G11" s="5" t="s">
        <v>316</v>
      </c>
      <c r="H11" s="62">
        <v>2254</v>
      </c>
      <c r="I11" s="6">
        <f t="shared" si="3"/>
        <v>1223.9219999999998</v>
      </c>
      <c r="J11" s="20">
        <f t="shared" si="4"/>
        <v>89.549807938540326</v>
      </c>
      <c r="K11" s="5" t="s">
        <v>130</v>
      </c>
      <c r="L11" s="60">
        <v>2535</v>
      </c>
      <c r="M11" s="6">
        <f t="shared" si="5"/>
        <v>1419.6000000000001</v>
      </c>
      <c r="N11" s="20">
        <f t="shared" si="6"/>
        <v>103.86683738796415</v>
      </c>
      <c r="O11" s="5" t="s">
        <v>123</v>
      </c>
      <c r="P11" s="60">
        <v>2165</v>
      </c>
      <c r="Q11" s="6">
        <f t="shared" si="7"/>
        <v>1071.675</v>
      </c>
      <c r="R11" s="20">
        <f t="shared" si="8"/>
        <v>78.410462776659955</v>
      </c>
      <c r="S11" s="20"/>
      <c r="T11" s="5" t="s">
        <v>227</v>
      </c>
      <c r="U11" s="5" t="s">
        <v>219</v>
      </c>
      <c r="V11" s="62">
        <v>2108</v>
      </c>
      <c r="W11" s="6">
        <f t="shared" si="16"/>
        <v>1222.6399999999999</v>
      </c>
      <c r="X11" s="20">
        <f t="shared" si="10"/>
        <v>89.456008779952427</v>
      </c>
      <c r="Z11" s="5" t="s">
        <v>100</v>
      </c>
      <c r="AA11" s="5"/>
      <c r="AB11" s="62">
        <v>2531</v>
      </c>
      <c r="AC11" s="60">
        <f t="shared" si="11"/>
        <v>1341.43</v>
      </c>
      <c r="AD11" s="20">
        <f t="shared" si="0"/>
        <v>98.147430034753981</v>
      </c>
      <c r="AF11" s="5" t="s">
        <v>77</v>
      </c>
      <c r="AG11" s="5" t="s">
        <v>136</v>
      </c>
      <c r="AH11" s="62">
        <v>1581</v>
      </c>
      <c r="AI11" s="60">
        <f t="shared" si="12"/>
        <v>901.17</v>
      </c>
      <c r="AJ11" s="20">
        <f t="shared" si="1"/>
        <v>65.935247850740808</v>
      </c>
      <c r="AL11" s="5" t="s">
        <v>77</v>
      </c>
      <c r="AM11" s="5" t="s">
        <v>371</v>
      </c>
      <c r="AN11" s="62">
        <v>2140</v>
      </c>
      <c r="AO11" s="60">
        <f t="shared" si="13"/>
        <v>535</v>
      </c>
      <c r="AP11" s="20">
        <f t="shared" si="14"/>
        <v>39.143954636912383</v>
      </c>
    </row>
    <row r="12" spans="1:42" x14ac:dyDescent="0.35">
      <c r="A12" s="5" t="s">
        <v>11</v>
      </c>
      <c r="B12" s="62" t="s">
        <v>78</v>
      </c>
      <c r="C12" s="5" t="s">
        <v>202</v>
      </c>
      <c r="D12" s="21">
        <v>2432</v>
      </c>
      <c r="E12" s="6">
        <f t="shared" si="2"/>
        <v>1337.6000000000001</v>
      </c>
      <c r="F12" s="20">
        <v>100</v>
      </c>
      <c r="G12" s="5" t="s">
        <v>317</v>
      </c>
      <c r="H12" s="62">
        <v>2175</v>
      </c>
      <c r="I12" s="6">
        <f t="shared" si="3"/>
        <v>1181.0249999999999</v>
      </c>
      <c r="J12" s="20">
        <f t="shared" si="4"/>
        <v>88.294333133971278</v>
      </c>
      <c r="K12" s="5" t="s">
        <v>130</v>
      </c>
      <c r="L12" s="60">
        <v>2494</v>
      </c>
      <c r="M12" s="6">
        <f t="shared" si="5"/>
        <v>1396.64</v>
      </c>
      <c r="N12" s="20">
        <f t="shared" si="6"/>
        <v>104.41387559808611</v>
      </c>
      <c r="O12" s="5" t="s">
        <v>111</v>
      </c>
      <c r="P12" s="179">
        <v>2040</v>
      </c>
      <c r="Q12" s="6">
        <f t="shared" si="7"/>
        <v>1009.8</v>
      </c>
      <c r="R12" s="20">
        <f t="shared" si="8"/>
        <v>75.493421052631575</v>
      </c>
      <c r="S12" s="20"/>
      <c r="T12" s="5" t="s">
        <v>228</v>
      </c>
      <c r="U12" s="5" t="s">
        <v>219</v>
      </c>
      <c r="V12" s="62">
        <v>2056</v>
      </c>
      <c r="W12" s="6">
        <f t="shared" si="16"/>
        <v>1192.48</v>
      </c>
      <c r="X12" s="20">
        <f t="shared" si="10"/>
        <v>89.150717703349272</v>
      </c>
      <c r="Z12" s="5" t="s">
        <v>255</v>
      </c>
      <c r="AA12" s="5"/>
      <c r="AB12" s="62">
        <v>2363</v>
      </c>
      <c r="AC12" s="60">
        <f t="shared" si="11"/>
        <v>1252.3900000000001</v>
      </c>
      <c r="AD12" s="20">
        <f t="shared" si="0"/>
        <v>93.629635167464116</v>
      </c>
      <c r="AF12" s="5" t="s">
        <v>78</v>
      </c>
      <c r="AG12" s="5" t="s">
        <v>136</v>
      </c>
      <c r="AH12" s="62">
        <v>1609</v>
      </c>
      <c r="AI12" s="60">
        <f t="shared" si="12"/>
        <v>917.13</v>
      </c>
      <c r="AJ12" s="20">
        <f t="shared" si="1"/>
        <v>68.565340909090907</v>
      </c>
      <c r="AL12" s="5" t="s">
        <v>78</v>
      </c>
      <c r="AM12" s="5" t="s">
        <v>372</v>
      </c>
      <c r="AN12" s="62">
        <v>2300</v>
      </c>
      <c r="AO12" s="60">
        <f t="shared" si="13"/>
        <v>575</v>
      </c>
      <c r="AP12" s="20">
        <f t="shared" si="14"/>
        <v>42.987440191387556</v>
      </c>
    </row>
    <row r="13" spans="1:42" x14ac:dyDescent="0.35">
      <c r="A13" s="5" t="s">
        <v>11</v>
      </c>
      <c r="B13" s="62" t="s">
        <v>79</v>
      </c>
      <c r="C13" s="5" t="s">
        <v>203</v>
      </c>
      <c r="D13" s="21">
        <v>2580</v>
      </c>
      <c r="E13" s="6">
        <f t="shared" si="2"/>
        <v>1419.0000000000002</v>
      </c>
      <c r="F13" s="20">
        <v>100</v>
      </c>
      <c r="G13" s="5" t="s">
        <v>318</v>
      </c>
      <c r="H13" s="62">
        <v>2288</v>
      </c>
      <c r="I13" s="6">
        <f t="shared" si="3"/>
        <v>1242.3839999999998</v>
      </c>
      <c r="J13" s="20">
        <f t="shared" si="4"/>
        <v>87.553488372093</v>
      </c>
      <c r="K13" s="5" t="s">
        <v>131</v>
      </c>
      <c r="L13" s="60">
        <v>2481</v>
      </c>
      <c r="M13" s="6">
        <f t="shared" si="5"/>
        <v>1389.3600000000001</v>
      </c>
      <c r="N13" s="20">
        <f t="shared" si="6"/>
        <v>97.91120507399576</v>
      </c>
      <c r="O13" s="5" t="s">
        <v>112</v>
      </c>
      <c r="P13" s="60">
        <v>2605</v>
      </c>
      <c r="Q13" s="6">
        <f t="shared" si="7"/>
        <v>1289.4749999999999</v>
      </c>
      <c r="R13" s="20">
        <f t="shared" si="8"/>
        <v>90.872093023255786</v>
      </c>
      <c r="S13" s="20"/>
      <c r="T13" s="5" t="s">
        <v>229</v>
      </c>
      <c r="U13" s="5" t="s">
        <v>219</v>
      </c>
      <c r="V13" s="62">
        <v>2169</v>
      </c>
      <c r="W13" s="6">
        <f t="shared" si="16"/>
        <v>1258.02</v>
      </c>
      <c r="X13" s="20">
        <f t="shared" si="10"/>
        <v>88.655391120507389</v>
      </c>
      <c r="Z13" s="5" t="s">
        <v>132</v>
      </c>
      <c r="AA13" s="5"/>
      <c r="AB13" s="62">
        <v>2426</v>
      </c>
      <c r="AC13" s="60">
        <f t="shared" si="11"/>
        <v>1285.78</v>
      </c>
      <c r="AD13" s="20">
        <f t="shared" si="0"/>
        <v>90.611698379140222</v>
      </c>
      <c r="AF13" s="5" t="s">
        <v>79</v>
      </c>
      <c r="AG13" s="5" t="s">
        <v>136</v>
      </c>
      <c r="AH13" s="62">
        <v>1822</v>
      </c>
      <c r="AI13" s="60">
        <f t="shared" si="12"/>
        <v>1038.54</v>
      </c>
      <c r="AJ13" s="20">
        <f t="shared" si="1"/>
        <v>73.18816067653276</v>
      </c>
      <c r="AL13" s="5" t="s">
        <v>79</v>
      </c>
      <c r="AM13" s="5" t="s">
        <v>373</v>
      </c>
      <c r="AN13" s="62">
        <v>2475</v>
      </c>
      <c r="AO13" s="60">
        <f t="shared" si="13"/>
        <v>618.75</v>
      </c>
      <c r="AP13" s="20">
        <f t="shared" si="14"/>
        <v>43.604651162790688</v>
      </c>
    </row>
    <row r="14" spans="1:42" x14ac:dyDescent="0.35">
      <c r="A14" s="5" t="s">
        <v>11</v>
      </c>
      <c r="B14" s="62" t="s">
        <v>80</v>
      </c>
      <c r="C14" s="5" t="s">
        <v>204</v>
      </c>
      <c r="D14" s="21">
        <v>3430</v>
      </c>
      <c r="E14" s="6">
        <f t="shared" si="2"/>
        <v>1886.5000000000002</v>
      </c>
      <c r="F14" s="20">
        <v>100</v>
      </c>
      <c r="G14" s="5" t="s">
        <v>319</v>
      </c>
      <c r="H14" s="62">
        <v>3049</v>
      </c>
      <c r="I14" s="6">
        <f t="shared" si="3"/>
        <v>1655.6069999999997</v>
      </c>
      <c r="J14" s="20">
        <f t="shared" si="4"/>
        <v>87.760773919957572</v>
      </c>
      <c r="K14" s="5" t="s">
        <v>130</v>
      </c>
      <c r="L14" s="60">
        <v>3521</v>
      </c>
      <c r="M14" s="6">
        <f t="shared" si="5"/>
        <v>1971.7600000000002</v>
      </c>
      <c r="N14" s="20">
        <f t="shared" si="6"/>
        <v>104.51948051948052</v>
      </c>
      <c r="O14" s="5" t="s">
        <v>159</v>
      </c>
      <c r="P14" s="60">
        <v>2882</v>
      </c>
      <c r="Q14" s="6">
        <f t="shared" si="7"/>
        <v>1426.59</v>
      </c>
      <c r="R14" s="20">
        <f t="shared" si="8"/>
        <v>75.620991253644306</v>
      </c>
      <c r="S14" s="20"/>
      <c r="T14" s="5" t="s">
        <v>230</v>
      </c>
      <c r="U14" s="5" t="s">
        <v>219</v>
      </c>
      <c r="V14" s="62">
        <v>2952</v>
      </c>
      <c r="W14" s="6">
        <f t="shared" si="16"/>
        <v>1712.16</v>
      </c>
      <c r="X14" s="20">
        <f t="shared" si="10"/>
        <v>90.7585475748741</v>
      </c>
      <c r="Z14" s="5" t="s">
        <v>256</v>
      </c>
      <c r="AA14" s="5"/>
      <c r="AB14" s="62">
        <v>3452</v>
      </c>
      <c r="AC14" s="60">
        <f t="shared" si="11"/>
        <v>1829.5600000000002</v>
      </c>
      <c r="AD14" s="20">
        <f t="shared" si="0"/>
        <v>96.981712165385645</v>
      </c>
      <c r="AF14" s="5" t="s">
        <v>80</v>
      </c>
      <c r="AG14" s="5" t="s">
        <v>136</v>
      </c>
      <c r="AH14" s="62">
        <v>2353</v>
      </c>
      <c r="AI14" s="60">
        <f t="shared" si="12"/>
        <v>1341.21</v>
      </c>
      <c r="AJ14" s="20">
        <f t="shared" si="1"/>
        <v>71.095149748210957</v>
      </c>
      <c r="AL14" s="5" t="s">
        <v>80</v>
      </c>
      <c r="AM14" s="5" t="s">
        <v>373</v>
      </c>
      <c r="AN14" s="62">
        <v>2586</v>
      </c>
      <c r="AO14" s="60">
        <f t="shared" si="13"/>
        <v>646.5</v>
      </c>
      <c r="AP14" s="20">
        <f t="shared" si="14"/>
        <v>34.269811820832224</v>
      </c>
    </row>
    <row r="15" spans="1:42" x14ac:dyDescent="0.35">
      <c r="A15" s="5" t="s">
        <v>11</v>
      </c>
      <c r="B15" s="62" t="s">
        <v>81</v>
      </c>
      <c r="C15" s="5" t="s">
        <v>306</v>
      </c>
      <c r="D15" s="21">
        <v>3428</v>
      </c>
      <c r="E15" s="6">
        <f t="shared" si="2"/>
        <v>1885.4</v>
      </c>
      <c r="F15" s="20">
        <v>100</v>
      </c>
      <c r="G15" s="5" t="s">
        <v>320</v>
      </c>
      <c r="H15" s="62">
        <v>3026</v>
      </c>
      <c r="I15" s="6">
        <f t="shared" si="3"/>
        <v>1643.1179999999997</v>
      </c>
      <c r="J15" s="20">
        <f t="shared" si="4"/>
        <v>87.149570382942585</v>
      </c>
      <c r="K15" s="5" t="s">
        <v>130</v>
      </c>
      <c r="L15" s="60">
        <v>3490</v>
      </c>
      <c r="M15" s="6">
        <f t="shared" si="5"/>
        <v>1954.4</v>
      </c>
      <c r="N15" s="20">
        <f t="shared" si="6"/>
        <v>103.65970085923411</v>
      </c>
      <c r="O15" s="5" t="s">
        <v>113</v>
      </c>
      <c r="P15" s="179">
        <v>2848</v>
      </c>
      <c r="Q15" s="6">
        <f t="shared" si="7"/>
        <v>1409.76</v>
      </c>
      <c r="R15" s="20">
        <f t="shared" si="8"/>
        <v>74.772462077012833</v>
      </c>
      <c r="S15" s="20"/>
      <c r="T15" s="5" t="s">
        <v>231</v>
      </c>
      <c r="U15" s="5" t="s">
        <v>219</v>
      </c>
      <c r="V15" s="62">
        <v>2999</v>
      </c>
      <c r="W15" s="6">
        <f t="shared" si="16"/>
        <v>1739.42</v>
      </c>
      <c r="X15" s="20">
        <f t="shared" si="10"/>
        <v>92.257345921289911</v>
      </c>
      <c r="Z15" s="5" t="s">
        <v>101</v>
      </c>
      <c r="AA15" s="5"/>
      <c r="AB15" s="62">
        <v>3437</v>
      </c>
      <c r="AC15" s="60">
        <f t="shared" si="11"/>
        <v>1821.6100000000001</v>
      </c>
      <c r="AD15" s="20">
        <f t="shared" si="0"/>
        <v>96.616633075209506</v>
      </c>
      <c r="AF15" s="5" t="s">
        <v>81</v>
      </c>
      <c r="AG15" s="5" t="s">
        <v>136</v>
      </c>
      <c r="AH15" s="62">
        <v>2339</v>
      </c>
      <c r="AI15" s="60">
        <f t="shared" si="12"/>
        <v>1333.23</v>
      </c>
      <c r="AJ15" s="20">
        <f t="shared" si="1"/>
        <v>70.713376471836213</v>
      </c>
      <c r="AL15" s="5" t="s">
        <v>81</v>
      </c>
      <c r="AM15" s="5" t="s">
        <v>374</v>
      </c>
      <c r="AN15" s="62">
        <v>2865</v>
      </c>
      <c r="AO15" s="60">
        <f t="shared" si="13"/>
        <v>716.25</v>
      </c>
      <c r="AP15" s="20">
        <f t="shared" si="14"/>
        <v>37.989286093136734</v>
      </c>
    </row>
    <row r="16" spans="1:42" x14ac:dyDescent="0.35">
      <c r="A16" s="5"/>
      <c r="B16" s="62"/>
      <c r="C16" s="5"/>
      <c r="D16" s="21"/>
      <c r="E16" s="6"/>
      <c r="F16" s="20"/>
      <c r="G16" s="5"/>
      <c r="H16" s="62"/>
      <c r="I16" s="6">
        <f t="shared" si="3"/>
        <v>0</v>
      </c>
      <c r="J16" s="20"/>
      <c r="K16" s="5"/>
      <c r="L16" s="60"/>
      <c r="M16" s="6"/>
      <c r="N16" s="20"/>
      <c r="O16" s="5"/>
      <c r="P16" s="60"/>
      <c r="Q16" s="6"/>
      <c r="R16" s="20"/>
      <c r="S16" s="20"/>
      <c r="T16" s="5" t="s">
        <v>232</v>
      </c>
      <c r="U16" s="5"/>
      <c r="V16" s="62"/>
      <c r="W16" s="6"/>
      <c r="X16" s="20"/>
      <c r="Z16" s="5"/>
      <c r="AA16" s="5"/>
      <c r="AB16" s="62"/>
      <c r="AC16" s="60"/>
      <c r="AD16" s="20"/>
      <c r="AF16" s="5"/>
      <c r="AG16" s="5"/>
      <c r="AH16" s="60"/>
      <c r="AI16" s="60"/>
      <c r="AJ16" s="20"/>
      <c r="AL16" s="5"/>
      <c r="AM16" s="5"/>
      <c r="AN16" s="62"/>
      <c r="AO16" s="60"/>
      <c r="AP16" s="20"/>
    </row>
    <row r="17" spans="1:42" x14ac:dyDescent="0.35">
      <c r="A17" s="5" t="s">
        <v>62</v>
      </c>
      <c r="B17" s="62" t="s">
        <v>82</v>
      </c>
      <c r="C17" s="5" t="s">
        <v>205</v>
      </c>
      <c r="D17" s="21">
        <v>2647</v>
      </c>
      <c r="E17" s="6">
        <f t="shared" si="2"/>
        <v>1455.8500000000001</v>
      </c>
      <c r="F17" s="20">
        <v>100</v>
      </c>
      <c r="G17" s="5" t="s">
        <v>59</v>
      </c>
      <c r="H17" s="62">
        <v>2417</v>
      </c>
      <c r="I17" s="6">
        <f t="shared" si="3"/>
        <v>1312.4309999999998</v>
      </c>
      <c r="J17" s="20">
        <f t="shared" si="4"/>
        <v>90.148779063777155</v>
      </c>
      <c r="K17" s="5" t="s">
        <v>131</v>
      </c>
      <c r="L17" s="60">
        <v>2610</v>
      </c>
      <c r="M17" s="6">
        <f t="shared" si="5"/>
        <v>1461.6000000000001</v>
      </c>
      <c r="N17" s="20">
        <f t="shared" si="6"/>
        <v>100.39495827179996</v>
      </c>
      <c r="O17" s="5" t="s">
        <v>160</v>
      </c>
      <c r="P17" s="179">
        <v>2262</v>
      </c>
      <c r="Q17" s="6">
        <f t="shared" si="7"/>
        <v>1119.69</v>
      </c>
      <c r="R17" s="20">
        <f t="shared" si="8"/>
        <v>76.909709104646765</v>
      </c>
      <c r="S17" s="20"/>
      <c r="T17" s="5" t="s">
        <v>233</v>
      </c>
      <c r="U17" s="5" t="s">
        <v>366</v>
      </c>
      <c r="V17" s="182">
        <f>D17*0.97</f>
        <v>2567.59</v>
      </c>
      <c r="W17" s="182">
        <f>E17*0.97</f>
        <v>1412.1745000000001</v>
      </c>
      <c r="X17" s="20">
        <f t="shared" si="10"/>
        <v>97</v>
      </c>
      <c r="Z17" s="5" t="s">
        <v>257</v>
      </c>
      <c r="AA17" s="5"/>
      <c r="AB17" s="62">
        <v>2777</v>
      </c>
      <c r="AC17" s="60">
        <f t="shared" si="11"/>
        <v>1471.8100000000002</v>
      </c>
      <c r="AD17" s="20">
        <f>AC17*100/E17</f>
        <v>101.09626678572656</v>
      </c>
      <c r="AF17" s="5" t="s">
        <v>82</v>
      </c>
      <c r="AG17" s="5" t="s">
        <v>137</v>
      </c>
      <c r="AH17" s="62">
        <v>1932</v>
      </c>
      <c r="AI17" s="60">
        <f t="shared" si="12"/>
        <v>1101.24</v>
      </c>
      <c r="AJ17" s="20">
        <f>AI17*100/E17</f>
        <v>75.64240821513205</v>
      </c>
      <c r="AL17" s="5" t="s">
        <v>82</v>
      </c>
      <c r="AM17" s="5" t="s">
        <v>375</v>
      </c>
      <c r="AN17" s="62" t="s">
        <v>328</v>
      </c>
      <c r="AO17" s="60" t="s">
        <v>328</v>
      </c>
      <c r="AP17" s="20" t="s">
        <v>328</v>
      </c>
    </row>
    <row r="18" spans="1:42" x14ac:dyDescent="0.35">
      <c r="A18" s="5" t="s">
        <v>62</v>
      </c>
      <c r="B18" s="62" t="s">
        <v>83</v>
      </c>
      <c r="C18" s="5" t="s">
        <v>206</v>
      </c>
      <c r="D18" s="21">
        <v>3829</v>
      </c>
      <c r="E18" s="6">
        <f t="shared" si="2"/>
        <v>2105.9500000000003</v>
      </c>
      <c r="F18" s="20">
        <v>100</v>
      </c>
      <c r="G18" s="5" t="s">
        <v>321</v>
      </c>
      <c r="H18" s="62">
        <v>3589</v>
      </c>
      <c r="I18" s="6">
        <f t="shared" si="3"/>
        <v>1948.8269999999998</v>
      </c>
      <c r="J18" s="20">
        <f t="shared" si="4"/>
        <v>92.539091621358509</v>
      </c>
      <c r="K18" s="5" t="s">
        <v>131</v>
      </c>
      <c r="L18" s="60">
        <v>3754</v>
      </c>
      <c r="M18" s="6">
        <f t="shared" si="5"/>
        <v>2102.2400000000002</v>
      </c>
      <c r="N18" s="20">
        <f t="shared" si="6"/>
        <v>99.823832474655148</v>
      </c>
      <c r="O18" s="5" t="s">
        <v>114</v>
      </c>
      <c r="P18" s="60">
        <v>3165</v>
      </c>
      <c r="Q18" s="6">
        <f t="shared" si="7"/>
        <v>1566.675</v>
      </c>
      <c r="R18" s="20">
        <f t="shared" si="8"/>
        <v>74.392791851658387</v>
      </c>
      <c r="S18" s="20"/>
      <c r="T18" s="5" t="s">
        <v>234</v>
      </c>
      <c r="U18" s="5" t="s">
        <v>219</v>
      </c>
      <c r="V18" s="62">
        <v>3509</v>
      </c>
      <c r="W18" s="6">
        <f t="shared" si="16"/>
        <v>2035.22</v>
      </c>
      <c r="X18" s="20">
        <f t="shared" si="10"/>
        <v>96.641420736484704</v>
      </c>
      <c r="Z18" s="5" t="s">
        <v>258</v>
      </c>
      <c r="AA18" s="5"/>
      <c r="AB18" s="62">
        <v>3823</v>
      </c>
      <c r="AC18" s="60">
        <f t="shared" si="11"/>
        <v>2026.19</v>
      </c>
      <c r="AD18" s="20">
        <f>AC18*100/E18</f>
        <v>96.212635627626469</v>
      </c>
      <c r="AF18" s="5" t="s">
        <v>83</v>
      </c>
      <c r="AG18" s="5" t="s">
        <v>137</v>
      </c>
      <c r="AH18" s="62">
        <v>2490</v>
      </c>
      <c r="AI18" s="60">
        <f t="shared" si="12"/>
        <v>1419.3</v>
      </c>
      <c r="AJ18" s="20">
        <f>AI18*100/E18</f>
        <v>67.39476245874782</v>
      </c>
      <c r="AL18" s="5" t="s">
        <v>83</v>
      </c>
      <c r="AM18" s="5" t="s">
        <v>376</v>
      </c>
      <c r="AN18" s="62">
        <v>3063</v>
      </c>
      <c r="AO18" s="60">
        <f t="shared" ref="AO18:AO19" si="17">AN18-(AN18*AO$2)</f>
        <v>765.75</v>
      </c>
      <c r="AP18" s="20">
        <f>AO18*100/E18</f>
        <v>36.361262138227396</v>
      </c>
    </row>
    <row r="19" spans="1:42" x14ac:dyDescent="0.35">
      <c r="A19" s="5" t="s">
        <v>62</v>
      </c>
      <c r="B19" s="62" t="s">
        <v>84</v>
      </c>
      <c r="C19" s="5" t="s">
        <v>207</v>
      </c>
      <c r="D19" s="21">
        <v>3757</v>
      </c>
      <c r="E19" s="6">
        <f t="shared" si="2"/>
        <v>2066.3500000000004</v>
      </c>
      <c r="F19" s="20">
        <v>100</v>
      </c>
      <c r="G19" s="5" t="s">
        <v>322</v>
      </c>
      <c r="H19" s="62">
        <v>3426</v>
      </c>
      <c r="I19" s="6">
        <f t="shared" si="3"/>
        <v>1860.3179999999998</v>
      </c>
      <c r="J19" s="20">
        <f t="shared" si="4"/>
        <v>90.029181890773572</v>
      </c>
      <c r="K19" s="5" t="s">
        <v>131</v>
      </c>
      <c r="L19" s="60">
        <v>3940</v>
      </c>
      <c r="M19" s="6">
        <f t="shared" si="5"/>
        <v>2206.4</v>
      </c>
      <c r="N19" s="20">
        <f t="shared" si="6"/>
        <v>106.7776514143296</v>
      </c>
      <c r="O19" s="5" t="s">
        <v>115</v>
      </c>
      <c r="P19" s="60">
        <v>3194</v>
      </c>
      <c r="Q19" s="6">
        <f t="shared" si="7"/>
        <v>1581.03</v>
      </c>
      <c r="R19" s="20">
        <f t="shared" si="8"/>
        <v>76.513175405908953</v>
      </c>
      <c r="S19" s="20"/>
      <c r="T19" s="5" t="s">
        <v>235</v>
      </c>
      <c r="U19" s="5" t="s">
        <v>219</v>
      </c>
      <c r="V19" s="62">
        <v>3572</v>
      </c>
      <c r="W19" s="6">
        <f t="shared" si="16"/>
        <v>2071.7600000000002</v>
      </c>
      <c r="X19" s="20">
        <f t="shared" si="10"/>
        <v>100.26181431025721</v>
      </c>
      <c r="Z19" s="5" t="s">
        <v>259</v>
      </c>
      <c r="AA19" s="5"/>
      <c r="AB19" s="62">
        <v>3814</v>
      </c>
      <c r="AC19" s="60">
        <f t="shared" si="11"/>
        <v>2021.42</v>
      </c>
      <c r="AD19" s="20">
        <f>AC19*100/E19</f>
        <v>97.825634573039395</v>
      </c>
      <c r="AF19" s="5" t="s">
        <v>84</v>
      </c>
      <c r="AG19" s="5" t="s">
        <v>137</v>
      </c>
      <c r="AH19" s="62">
        <v>2646</v>
      </c>
      <c r="AI19" s="60">
        <f t="shared" si="12"/>
        <v>1508.22</v>
      </c>
      <c r="AJ19" s="20">
        <f>AI19*100/E19</f>
        <v>72.989570982650548</v>
      </c>
      <c r="AL19" s="5" t="s">
        <v>84</v>
      </c>
      <c r="AM19" s="5" t="s">
        <v>377</v>
      </c>
      <c r="AN19" s="62">
        <v>3440</v>
      </c>
      <c r="AO19" s="60">
        <f t="shared" si="17"/>
        <v>860</v>
      </c>
      <c r="AP19" s="20">
        <f>AO19*100/E19</f>
        <v>41.619280373605626</v>
      </c>
    </row>
    <row r="20" spans="1:42" x14ac:dyDescent="0.35">
      <c r="A20" s="5" t="s">
        <v>62</v>
      </c>
      <c r="B20" s="62" t="s">
        <v>85</v>
      </c>
      <c r="C20" s="5" t="s">
        <v>208</v>
      </c>
      <c r="D20" s="21">
        <v>4336</v>
      </c>
      <c r="E20" s="6">
        <f t="shared" si="2"/>
        <v>2384.8000000000002</v>
      </c>
      <c r="F20" s="20">
        <v>100</v>
      </c>
      <c r="G20" s="5" t="s">
        <v>323</v>
      </c>
      <c r="H20" s="62">
        <v>3973</v>
      </c>
      <c r="I20" s="6">
        <f t="shared" si="3"/>
        <v>2157.3389999999995</v>
      </c>
      <c r="J20" s="20">
        <f t="shared" si="4"/>
        <v>90.462051325058667</v>
      </c>
      <c r="K20" s="5" t="s">
        <v>131</v>
      </c>
      <c r="L20" s="60">
        <v>4283</v>
      </c>
      <c r="M20" s="6">
        <f t="shared" si="5"/>
        <v>2398.48</v>
      </c>
      <c r="N20" s="20">
        <f t="shared" si="6"/>
        <v>100.57363300905736</v>
      </c>
      <c r="O20" s="5" t="s">
        <v>116</v>
      </c>
      <c r="P20" s="179">
        <v>3820</v>
      </c>
      <c r="Q20" s="6">
        <f t="shared" si="7"/>
        <v>1890.9</v>
      </c>
      <c r="R20" s="20">
        <f t="shared" si="8"/>
        <v>79.289667896678964</v>
      </c>
      <c r="S20" s="20"/>
      <c r="T20" s="5" t="s">
        <v>236</v>
      </c>
      <c r="U20" s="5" t="s">
        <v>366</v>
      </c>
      <c r="V20" s="182">
        <f>D20</f>
        <v>4336</v>
      </c>
      <c r="W20" s="182">
        <f>E20</f>
        <v>2384.8000000000002</v>
      </c>
      <c r="X20" s="20">
        <f t="shared" si="10"/>
        <v>100</v>
      </c>
      <c r="Z20" s="5" t="s">
        <v>260</v>
      </c>
      <c r="AA20" s="5"/>
      <c r="AB20" s="62">
        <v>4236</v>
      </c>
      <c r="AC20" s="60">
        <f t="shared" si="11"/>
        <v>2245.08</v>
      </c>
      <c r="AD20" s="20">
        <f>AC20*100/E20</f>
        <v>94.141227775914118</v>
      </c>
      <c r="AF20" s="5" t="s">
        <v>85</v>
      </c>
      <c r="AG20" s="5" t="s">
        <v>137</v>
      </c>
      <c r="AH20" s="62">
        <v>2725</v>
      </c>
      <c r="AI20" s="60">
        <f t="shared" si="12"/>
        <v>1553.25</v>
      </c>
      <c r="AJ20" s="20">
        <f>AI20*100/E20</f>
        <v>65.131247903388115</v>
      </c>
      <c r="AL20" s="5" t="s">
        <v>85</v>
      </c>
      <c r="AM20" s="5" t="s">
        <v>378</v>
      </c>
      <c r="AN20" s="62" t="s">
        <v>328</v>
      </c>
      <c r="AO20" s="60" t="s">
        <v>328</v>
      </c>
      <c r="AP20" s="20" t="s">
        <v>328</v>
      </c>
    </row>
    <row r="21" spans="1:42" x14ac:dyDescent="0.35">
      <c r="A21" s="5" t="s">
        <v>62</v>
      </c>
      <c r="B21" s="62" t="s">
        <v>86</v>
      </c>
      <c r="C21" s="5" t="s">
        <v>209</v>
      </c>
      <c r="D21" s="21">
        <v>5815</v>
      </c>
      <c r="E21" s="6">
        <f t="shared" si="2"/>
        <v>3198.2500000000005</v>
      </c>
      <c r="F21" s="20">
        <v>100</v>
      </c>
      <c r="G21" s="5" t="s">
        <v>324</v>
      </c>
      <c r="H21" s="62">
        <v>5308</v>
      </c>
      <c r="I21" s="6">
        <f t="shared" si="3"/>
        <v>2882.2439999999997</v>
      </c>
      <c r="J21" s="20">
        <f t="shared" si="4"/>
        <v>90.119409051825187</v>
      </c>
      <c r="K21" s="5" t="s">
        <v>131</v>
      </c>
      <c r="L21" s="60">
        <v>5858</v>
      </c>
      <c r="M21" s="6">
        <f t="shared" si="5"/>
        <v>3280.4800000000005</v>
      </c>
      <c r="N21" s="20">
        <f t="shared" si="6"/>
        <v>102.57109356679435</v>
      </c>
      <c r="O21" s="5" t="s">
        <v>117</v>
      </c>
      <c r="P21" s="60">
        <v>3875</v>
      </c>
      <c r="Q21" s="6">
        <f t="shared" si="7"/>
        <v>1918.125</v>
      </c>
      <c r="R21" s="20">
        <f t="shared" si="8"/>
        <v>59.974204643164221</v>
      </c>
      <c r="S21" s="20"/>
      <c r="T21" s="5" t="s">
        <v>237</v>
      </c>
      <c r="U21" s="5" t="s">
        <v>366</v>
      </c>
      <c r="V21" s="182">
        <f>D21</f>
        <v>5815</v>
      </c>
      <c r="W21" s="182">
        <f>E21</f>
        <v>3198.2500000000005</v>
      </c>
      <c r="X21" s="20">
        <f t="shared" ref="X21" si="18">W21*100/E21</f>
        <v>100</v>
      </c>
      <c r="Z21" s="5" t="s">
        <v>261</v>
      </c>
      <c r="AA21" s="5"/>
      <c r="AB21" s="62">
        <v>5053</v>
      </c>
      <c r="AC21" s="60">
        <f t="shared" si="11"/>
        <v>2678.09</v>
      </c>
      <c r="AD21" s="20">
        <f>AC21*100/E21</f>
        <v>83.736105682795269</v>
      </c>
      <c r="AF21" s="5" t="s">
        <v>86</v>
      </c>
      <c r="AG21" s="5" t="s">
        <v>138</v>
      </c>
      <c r="AH21" s="62">
        <v>3821</v>
      </c>
      <c r="AI21" s="60">
        <f t="shared" si="12"/>
        <v>2177.9700000000003</v>
      </c>
      <c r="AJ21" s="20">
        <f>AI21*100/E21</f>
        <v>68.098804033455792</v>
      </c>
      <c r="AL21" s="5" t="s">
        <v>86</v>
      </c>
      <c r="AM21" s="5" t="s">
        <v>379</v>
      </c>
      <c r="AN21" s="62" t="s">
        <v>328</v>
      </c>
      <c r="AO21" s="60" t="s">
        <v>328</v>
      </c>
      <c r="AP21" s="20" t="s">
        <v>328</v>
      </c>
    </row>
    <row r="22" spans="1:42" x14ac:dyDescent="0.35">
      <c r="A22" s="5"/>
      <c r="B22" s="62"/>
      <c r="C22" s="5"/>
      <c r="D22" s="21"/>
      <c r="E22" s="6"/>
      <c r="F22" s="20"/>
      <c r="G22" s="5"/>
      <c r="H22" s="62"/>
      <c r="I22" s="6"/>
      <c r="J22" s="20"/>
      <c r="K22" s="5"/>
      <c r="L22" s="60"/>
      <c r="M22" s="6"/>
      <c r="N22" s="20"/>
      <c r="O22" s="5"/>
      <c r="P22" s="60"/>
      <c r="Q22" s="6"/>
      <c r="R22" s="20"/>
      <c r="S22" s="20"/>
      <c r="T22" s="5" t="s">
        <v>232</v>
      </c>
      <c r="U22" s="5"/>
      <c r="V22" s="62"/>
      <c r="W22" s="6"/>
      <c r="X22" s="20"/>
      <c r="Z22" s="5"/>
      <c r="AA22" s="5"/>
      <c r="AB22" s="62"/>
      <c r="AC22" s="60"/>
      <c r="AD22" s="20"/>
      <c r="AF22" s="5"/>
      <c r="AG22" s="5"/>
      <c r="AH22" s="60"/>
      <c r="AI22" s="60"/>
      <c r="AJ22" s="20"/>
      <c r="AL22" s="5"/>
      <c r="AM22" s="5"/>
      <c r="AN22" s="62"/>
      <c r="AO22" s="60"/>
      <c r="AP22" s="20"/>
    </row>
    <row r="23" spans="1:42" x14ac:dyDescent="0.35">
      <c r="A23" s="5" t="s">
        <v>12</v>
      </c>
      <c r="B23" s="62" t="s">
        <v>72</v>
      </c>
      <c r="C23" s="5" t="s">
        <v>102</v>
      </c>
      <c r="D23" s="21">
        <v>1535</v>
      </c>
      <c r="E23" s="6">
        <f t="shared" si="2"/>
        <v>844.25000000000011</v>
      </c>
      <c r="F23" s="20">
        <v>100</v>
      </c>
      <c r="G23" s="5" t="s">
        <v>55</v>
      </c>
      <c r="H23" s="62">
        <v>1335</v>
      </c>
      <c r="I23" s="6">
        <f t="shared" si="3"/>
        <v>724.90499999999986</v>
      </c>
      <c r="J23" s="20">
        <f t="shared" si="4"/>
        <v>85.863784424044979</v>
      </c>
      <c r="K23" s="5" t="s">
        <v>185</v>
      </c>
      <c r="L23" s="60">
        <v>1427</v>
      </c>
      <c r="M23" s="6">
        <f t="shared" si="5"/>
        <v>799.12000000000012</v>
      </c>
      <c r="N23" s="20">
        <f t="shared" si="6"/>
        <v>94.65442700621854</v>
      </c>
      <c r="O23" s="5" t="s">
        <v>118</v>
      </c>
      <c r="P23" s="60">
        <v>1582</v>
      </c>
      <c r="Q23" s="6">
        <f t="shared" si="7"/>
        <v>783.09</v>
      </c>
      <c r="R23" s="20">
        <f t="shared" si="8"/>
        <v>92.755700325732889</v>
      </c>
      <c r="S23" s="20"/>
      <c r="T23" s="5" t="s">
        <v>238</v>
      </c>
      <c r="U23" s="5" t="s">
        <v>220</v>
      </c>
      <c r="V23" s="62">
        <v>1325</v>
      </c>
      <c r="W23" s="6">
        <f t="shared" si="16"/>
        <v>768.5</v>
      </c>
      <c r="X23" s="20">
        <f t="shared" si="10"/>
        <v>91.02753923600828</v>
      </c>
      <c r="Z23" s="5" t="s">
        <v>262</v>
      </c>
      <c r="AA23" s="5"/>
      <c r="AB23" s="155">
        <v>1465</v>
      </c>
      <c r="AC23" s="60">
        <f t="shared" si="11"/>
        <v>776.45</v>
      </c>
      <c r="AD23" s="20">
        <f t="shared" ref="AD23:AD31" si="19">AC23*100/E23</f>
        <v>91.969203435001475</v>
      </c>
      <c r="AF23" s="5" t="s">
        <v>72</v>
      </c>
      <c r="AG23" s="5" t="s">
        <v>139</v>
      </c>
      <c r="AH23" s="60">
        <v>898</v>
      </c>
      <c r="AI23" s="60">
        <f t="shared" si="12"/>
        <v>511.86</v>
      </c>
      <c r="AJ23" s="20">
        <f t="shared" ref="AJ23:AJ31" si="20">AI23*100/E23</f>
        <v>60.628960615931291</v>
      </c>
      <c r="AL23" s="5" t="s">
        <v>72</v>
      </c>
      <c r="AM23" s="5" t="s">
        <v>380</v>
      </c>
      <c r="AN23" s="62" t="s">
        <v>328</v>
      </c>
      <c r="AO23" s="60" t="s">
        <v>328</v>
      </c>
      <c r="AP23" s="20" t="s">
        <v>328</v>
      </c>
    </row>
    <row r="24" spans="1:42" x14ac:dyDescent="0.35">
      <c r="A24" s="5" t="s">
        <v>12</v>
      </c>
      <c r="B24" s="62" t="s">
        <v>73</v>
      </c>
      <c r="C24" s="5" t="s">
        <v>103</v>
      </c>
      <c r="D24" s="21">
        <v>1627</v>
      </c>
      <c r="E24" s="6">
        <f t="shared" si="2"/>
        <v>894.85</v>
      </c>
      <c r="F24" s="20">
        <v>100</v>
      </c>
      <c r="G24" s="5" t="s">
        <v>56</v>
      </c>
      <c r="H24" s="62">
        <v>1437</v>
      </c>
      <c r="I24" s="6">
        <f t="shared" si="3"/>
        <v>780.29099999999994</v>
      </c>
      <c r="J24" s="20">
        <f t="shared" si="4"/>
        <v>87.197966139576451</v>
      </c>
      <c r="K24" s="5" t="s">
        <v>185</v>
      </c>
      <c r="L24" s="60">
        <v>1553</v>
      </c>
      <c r="M24" s="6">
        <f t="shared" si="5"/>
        <v>869.68000000000006</v>
      </c>
      <c r="N24" s="20">
        <f t="shared" si="6"/>
        <v>97.18723808459518</v>
      </c>
      <c r="O24" s="5" t="s">
        <v>215</v>
      </c>
      <c r="P24" s="60">
        <v>1525</v>
      </c>
      <c r="Q24" s="6">
        <f t="shared" si="7"/>
        <v>754.875</v>
      </c>
      <c r="R24" s="20">
        <f t="shared" si="8"/>
        <v>84.357713583282106</v>
      </c>
      <c r="S24" s="20"/>
      <c r="T24" s="5" t="s">
        <v>239</v>
      </c>
      <c r="U24" s="5" t="s">
        <v>220</v>
      </c>
      <c r="V24" s="62">
        <v>1495</v>
      </c>
      <c r="W24" s="6">
        <f t="shared" si="16"/>
        <v>867.1</v>
      </c>
      <c r="X24" s="20">
        <f t="shared" si="10"/>
        <v>96.898921606973232</v>
      </c>
      <c r="Z24" s="5" t="s">
        <v>263</v>
      </c>
      <c r="AA24" s="5"/>
      <c r="AB24" s="62">
        <v>1624</v>
      </c>
      <c r="AC24" s="60">
        <f t="shared" si="11"/>
        <v>860.72</v>
      </c>
      <c r="AD24" s="20">
        <f t="shared" si="19"/>
        <v>96.185952953008879</v>
      </c>
      <c r="AF24" s="5" t="s">
        <v>73</v>
      </c>
      <c r="AG24" s="5" t="s">
        <v>139</v>
      </c>
      <c r="AH24" s="60">
        <v>1258</v>
      </c>
      <c r="AI24" s="60">
        <f t="shared" si="12"/>
        <v>717.06000000000006</v>
      </c>
      <c r="AJ24" s="20">
        <f t="shared" si="20"/>
        <v>80.131865675811582</v>
      </c>
      <c r="AL24" s="5" t="s">
        <v>73</v>
      </c>
      <c r="AM24" s="5" t="s">
        <v>381</v>
      </c>
      <c r="AN24" s="62" t="s">
        <v>328</v>
      </c>
      <c r="AO24" s="60" t="s">
        <v>328</v>
      </c>
      <c r="AP24" s="20" t="s">
        <v>328</v>
      </c>
    </row>
    <row r="25" spans="1:42" x14ac:dyDescent="0.35">
      <c r="A25" s="5" t="s">
        <v>12</v>
      </c>
      <c r="B25" s="62" t="s">
        <v>75</v>
      </c>
      <c r="C25" s="5" t="s">
        <v>307</v>
      </c>
      <c r="D25" s="21">
        <v>1665</v>
      </c>
      <c r="E25" s="6">
        <f t="shared" si="2"/>
        <v>915.75000000000011</v>
      </c>
      <c r="F25" s="20">
        <v>100</v>
      </c>
      <c r="G25" s="5" t="s">
        <v>210</v>
      </c>
      <c r="H25" s="62">
        <v>1476</v>
      </c>
      <c r="I25" s="6">
        <f t="shared" si="3"/>
        <v>801.46799999999985</v>
      </c>
      <c r="J25" s="20">
        <f t="shared" si="4"/>
        <v>87.520393120393095</v>
      </c>
      <c r="K25" s="5" t="s">
        <v>185</v>
      </c>
      <c r="L25" s="60">
        <v>1594</v>
      </c>
      <c r="M25" s="6">
        <f t="shared" si="5"/>
        <v>892.6400000000001</v>
      </c>
      <c r="N25" s="20">
        <f t="shared" si="6"/>
        <v>97.476385476385474</v>
      </c>
      <c r="O25" s="5" t="s">
        <v>216</v>
      </c>
      <c r="P25" s="60">
        <v>1525</v>
      </c>
      <c r="Q25" s="6">
        <f t="shared" si="7"/>
        <v>754.875</v>
      </c>
      <c r="R25" s="20">
        <f t="shared" si="8"/>
        <v>82.432432432432421</v>
      </c>
      <c r="S25" s="20"/>
      <c r="T25" s="5" t="s">
        <v>240</v>
      </c>
      <c r="U25" s="5" t="s">
        <v>220</v>
      </c>
      <c r="V25" s="62">
        <v>1444</v>
      </c>
      <c r="W25" s="6">
        <f t="shared" si="16"/>
        <v>837.52</v>
      </c>
      <c r="X25" s="20">
        <f t="shared" si="10"/>
        <v>91.457275457275443</v>
      </c>
      <c r="Z25" s="5" t="s">
        <v>264</v>
      </c>
      <c r="AA25" s="5"/>
      <c r="AB25" s="62">
        <v>1615</v>
      </c>
      <c r="AC25" s="60">
        <f t="shared" si="11"/>
        <v>855.95</v>
      </c>
      <c r="AD25" s="20">
        <f t="shared" si="19"/>
        <v>93.469833469833461</v>
      </c>
      <c r="AF25" s="5" t="s">
        <v>75</v>
      </c>
      <c r="AG25" s="5" t="s">
        <v>139</v>
      </c>
      <c r="AH25" s="60">
        <v>898</v>
      </c>
      <c r="AI25" s="60">
        <f t="shared" si="12"/>
        <v>511.86</v>
      </c>
      <c r="AJ25" s="20">
        <f t="shared" si="20"/>
        <v>55.895167895167887</v>
      </c>
      <c r="AL25" s="5" t="s">
        <v>75</v>
      </c>
      <c r="AM25" s="5" t="s">
        <v>382</v>
      </c>
      <c r="AN25" s="62">
        <v>1481</v>
      </c>
      <c r="AO25" s="60">
        <f t="shared" ref="AO25:AO28" si="21">AN25-(AN25*AO$2)</f>
        <v>370.25</v>
      </c>
      <c r="AP25" s="20">
        <f t="shared" ref="AP25:AP28" si="22">AO25*100/E25</f>
        <v>40.431340431340423</v>
      </c>
    </row>
    <row r="26" spans="1:42" x14ac:dyDescent="0.35">
      <c r="A26" s="5" t="s">
        <v>12</v>
      </c>
      <c r="B26" s="62" t="s">
        <v>76</v>
      </c>
      <c r="C26" s="5" t="s">
        <v>308</v>
      </c>
      <c r="D26" s="21">
        <v>1798</v>
      </c>
      <c r="E26" s="6">
        <f t="shared" si="2"/>
        <v>988.90000000000009</v>
      </c>
      <c r="F26" s="20">
        <v>100</v>
      </c>
      <c r="G26" s="5" t="s">
        <v>57</v>
      </c>
      <c r="H26" s="62">
        <v>1550</v>
      </c>
      <c r="I26" s="6">
        <f t="shared" si="3"/>
        <v>841.64999999999986</v>
      </c>
      <c r="J26" s="20">
        <f t="shared" si="4"/>
        <v>85.109717868338535</v>
      </c>
      <c r="K26" s="5" t="s">
        <v>185</v>
      </c>
      <c r="L26" s="60">
        <v>1755</v>
      </c>
      <c r="M26" s="6">
        <f t="shared" si="5"/>
        <v>982.80000000000007</v>
      </c>
      <c r="N26" s="20">
        <f t="shared" si="6"/>
        <v>99.383152998280906</v>
      </c>
      <c r="O26" s="5" t="s">
        <v>217</v>
      </c>
      <c r="P26" s="60">
        <v>1560</v>
      </c>
      <c r="Q26" s="6">
        <f t="shared" si="7"/>
        <v>772.2</v>
      </c>
      <c r="R26" s="20">
        <f t="shared" si="8"/>
        <v>78.086763070077851</v>
      </c>
      <c r="S26" s="20"/>
      <c r="T26" s="5" t="s">
        <v>241</v>
      </c>
      <c r="U26" s="5" t="s">
        <v>220</v>
      </c>
      <c r="V26" s="62">
        <v>1519</v>
      </c>
      <c r="W26" s="6">
        <f t="shared" si="16"/>
        <v>881.02</v>
      </c>
      <c r="X26" s="20">
        <f t="shared" si="10"/>
        <v>89.090909090909079</v>
      </c>
      <c r="Z26" s="5" t="s">
        <v>265</v>
      </c>
      <c r="AA26" s="5"/>
      <c r="AB26" s="62">
        <v>1731</v>
      </c>
      <c r="AC26" s="60">
        <f t="shared" si="11"/>
        <v>917.43000000000006</v>
      </c>
      <c r="AD26" s="20">
        <f t="shared" si="19"/>
        <v>92.772777833956908</v>
      </c>
      <c r="AF26" s="5" t="s">
        <v>76</v>
      </c>
      <c r="AG26" s="5" t="s">
        <v>139</v>
      </c>
      <c r="AH26" s="60">
        <v>999</v>
      </c>
      <c r="AI26" s="60">
        <f t="shared" si="12"/>
        <v>569.43000000000006</v>
      </c>
      <c r="AJ26" s="20">
        <f t="shared" si="20"/>
        <v>57.582161998179799</v>
      </c>
      <c r="AL26" s="5" t="s">
        <v>76</v>
      </c>
      <c r="AM26" s="5" t="s">
        <v>383</v>
      </c>
      <c r="AN26" s="62">
        <v>1588</v>
      </c>
      <c r="AO26" s="60">
        <f t="shared" si="21"/>
        <v>397</v>
      </c>
      <c r="AP26" s="20">
        <f t="shared" si="22"/>
        <v>40.14561634138942</v>
      </c>
    </row>
    <row r="27" spans="1:42" x14ac:dyDescent="0.35">
      <c r="A27" s="5" t="s">
        <v>12</v>
      </c>
      <c r="B27" s="62" t="s">
        <v>77</v>
      </c>
      <c r="C27" s="5" t="s">
        <v>309</v>
      </c>
      <c r="D27" s="21">
        <v>2271</v>
      </c>
      <c r="E27" s="6">
        <f t="shared" si="2"/>
        <v>1249.0500000000002</v>
      </c>
      <c r="F27" s="20">
        <v>100</v>
      </c>
      <c r="G27" s="5" t="s">
        <v>211</v>
      </c>
      <c r="H27" s="62">
        <v>2040</v>
      </c>
      <c r="I27" s="6">
        <f t="shared" si="3"/>
        <v>1107.7199999999998</v>
      </c>
      <c r="J27" s="20">
        <f t="shared" si="4"/>
        <v>88.68500060045632</v>
      </c>
      <c r="K27" s="5" t="s">
        <v>185</v>
      </c>
      <c r="L27" s="60">
        <v>2274</v>
      </c>
      <c r="M27" s="6">
        <f t="shared" si="5"/>
        <v>1273.44</v>
      </c>
      <c r="N27" s="20">
        <f t="shared" si="6"/>
        <v>101.95268403987029</v>
      </c>
      <c r="O27" s="5" t="s">
        <v>161</v>
      </c>
      <c r="P27" s="60">
        <v>1985</v>
      </c>
      <c r="Q27" s="6">
        <f t="shared" si="7"/>
        <v>982.57500000000005</v>
      </c>
      <c r="R27" s="20">
        <f t="shared" si="8"/>
        <v>78.665785997357986</v>
      </c>
      <c r="S27" s="20"/>
      <c r="T27" s="5" t="s">
        <v>242</v>
      </c>
      <c r="U27" s="5" t="s">
        <v>330</v>
      </c>
      <c r="V27" s="62">
        <v>1990</v>
      </c>
      <c r="W27" s="6">
        <f t="shared" si="16"/>
        <v>1154.2</v>
      </c>
      <c r="X27" s="20">
        <f t="shared" si="10"/>
        <v>92.406228733837708</v>
      </c>
      <c r="Z27" s="5" t="s">
        <v>266</v>
      </c>
      <c r="AA27" s="5"/>
      <c r="AB27" s="62">
        <v>2158</v>
      </c>
      <c r="AC27" s="60">
        <f t="shared" si="11"/>
        <v>1143.74</v>
      </c>
      <c r="AD27" s="20">
        <f t="shared" si="19"/>
        <v>91.56879228213441</v>
      </c>
      <c r="AF27" s="5" t="s">
        <v>77</v>
      </c>
      <c r="AG27" s="5" t="s">
        <v>139</v>
      </c>
      <c r="AH27" s="60">
        <v>1398</v>
      </c>
      <c r="AI27" s="60">
        <f t="shared" si="12"/>
        <v>796.86</v>
      </c>
      <c r="AJ27" s="20">
        <f t="shared" si="20"/>
        <v>63.797285937312346</v>
      </c>
      <c r="AL27" s="5" t="s">
        <v>77</v>
      </c>
      <c r="AM27" s="5" t="s">
        <v>384</v>
      </c>
      <c r="AN27" s="62">
        <v>1683</v>
      </c>
      <c r="AO27" s="60">
        <f t="shared" si="21"/>
        <v>420.75</v>
      </c>
      <c r="AP27" s="20">
        <f t="shared" si="22"/>
        <v>33.685601056803165</v>
      </c>
    </row>
    <row r="28" spans="1:42" x14ac:dyDescent="0.35">
      <c r="A28" s="5" t="s">
        <v>12</v>
      </c>
      <c r="B28" s="62" t="s">
        <v>78</v>
      </c>
      <c r="C28" s="5" t="s">
        <v>310</v>
      </c>
      <c r="D28" s="21">
        <v>2273</v>
      </c>
      <c r="E28" s="6">
        <f t="shared" si="2"/>
        <v>1250.1500000000001</v>
      </c>
      <c r="F28" s="20">
        <v>100</v>
      </c>
      <c r="G28" s="5" t="s">
        <v>212</v>
      </c>
      <c r="H28" s="62">
        <v>2237</v>
      </c>
      <c r="I28" s="6">
        <f t="shared" si="3"/>
        <v>1214.6909999999998</v>
      </c>
      <c r="J28" s="20">
        <f t="shared" si="4"/>
        <v>97.163620365556113</v>
      </c>
      <c r="K28" s="5" t="s">
        <v>185</v>
      </c>
      <c r="L28" s="60">
        <v>2192</v>
      </c>
      <c r="M28" s="6">
        <f t="shared" si="5"/>
        <v>1227.5200000000002</v>
      </c>
      <c r="N28" s="20">
        <f t="shared" si="6"/>
        <v>98.189817221933367</v>
      </c>
      <c r="O28" s="5" t="s">
        <v>162</v>
      </c>
      <c r="P28" s="60">
        <v>2004</v>
      </c>
      <c r="Q28" s="6">
        <f t="shared" si="7"/>
        <v>991.98</v>
      </c>
      <c r="R28" s="20">
        <f t="shared" si="8"/>
        <v>79.348878134623845</v>
      </c>
      <c r="S28" s="20"/>
      <c r="T28" s="5" t="s">
        <v>243</v>
      </c>
      <c r="U28" s="5" t="s">
        <v>220</v>
      </c>
      <c r="V28" s="62">
        <v>1971</v>
      </c>
      <c r="W28" s="6">
        <f t="shared" si="16"/>
        <v>1143.18</v>
      </c>
      <c r="X28" s="20">
        <f t="shared" si="10"/>
        <v>91.443426788785345</v>
      </c>
      <c r="Z28" s="5" t="s">
        <v>267</v>
      </c>
      <c r="AA28" s="5"/>
      <c r="AB28" s="62">
        <v>2119</v>
      </c>
      <c r="AC28" s="60">
        <f t="shared" si="11"/>
        <v>1123.0700000000002</v>
      </c>
      <c r="AD28" s="20">
        <f t="shared" si="19"/>
        <v>89.834819821621409</v>
      </c>
      <c r="AF28" s="5" t="s">
        <v>78</v>
      </c>
      <c r="AG28" s="5" t="s">
        <v>139</v>
      </c>
      <c r="AH28" s="60">
        <v>1479</v>
      </c>
      <c r="AI28" s="60">
        <f t="shared" si="12"/>
        <v>843.03</v>
      </c>
      <c r="AJ28" s="20">
        <f t="shared" si="20"/>
        <v>67.434307883054032</v>
      </c>
      <c r="AL28" s="5" t="s">
        <v>78</v>
      </c>
      <c r="AM28" s="5" t="s">
        <v>385</v>
      </c>
      <c r="AN28" s="62">
        <v>1748</v>
      </c>
      <c r="AO28" s="60">
        <f t="shared" si="21"/>
        <v>437</v>
      </c>
      <c r="AP28" s="20">
        <f t="shared" si="22"/>
        <v>34.955805303363597</v>
      </c>
    </row>
    <row r="29" spans="1:42" x14ac:dyDescent="0.35">
      <c r="A29" s="5" t="s">
        <v>12</v>
      </c>
      <c r="B29" s="62" t="s">
        <v>87</v>
      </c>
      <c r="C29" s="5" t="s">
        <v>311</v>
      </c>
      <c r="D29" s="21">
        <v>2602</v>
      </c>
      <c r="E29" s="6">
        <f t="shared" si="2"/>
        <v>1431.1000000000001</v>
      </c>
      <c r="F29" s="20">
        <v>100</v>
      </c>
      <c r="G29" s="5" t="s">
        <v>58</v>
      </c>
      <c r="H29" s="62">
        <v>2372</v>
      </c>
      <c r="I29" s="6">
        <f t="shared" si="3"/>
        <v>1287.9959999999999</v>
      </c>
      <c r="J29" s="20">
        <f t="shared" si="4"/>
        <v>90.000419257913478</v>
      </c>
      <c r="K29" s="5" t="s">
        <v>185</v>
      </c>
      <c r="L29" s="60">
        <v>2614</v>
      </c>
      <c r="M29" s="6">
        <f t="shared" si="5"/>
        <v>1463.8400000000001</v>
      </c>
      <c r="N29" s="20">
        <f t="shared" si="6"/>
        <v>102.2877506812941</v>
      </c>
      <c r="O29" s="5" t="s">
        <v>119</v>
      </c>
      <c r="P29" s="60">
        <v>2521</v>
      </c>
      <c r="Q29" s="6">
        <f t="shared" si="7"/>
        <v>1247.895</v>
      </c>
      <c r="R29" s="20">
        <f t="shared" si="8"/>
        <v>87.198308993082236</v>
      </c>
      <c r="S29" s="20"/>
      <c r="T29" s="5" t="s">
        <v>244</v>
      </c>
      <c r="U29" s="5" t="s">
        <v>220</v>
      </c>
      <c r="V29" s="62">
        <v>2198</v>
      </c>
      <c r="W29" s="6">
        <f t="shared" si="16"/>
        <v>1274.8400000000001</v>
      </c>
      <c r="X29" s="20">
        <f t="shared" si="10"/>
        <v>89.081126406260921</v>
      </c>
      <c r="Z29" s="5" t="s">
        <v>268</v>
      </c>
      <c r="AA29" s="5"/>
      <c r="AB29" s="62">
        <v>2311</v>
      </c>
      <c r="AC29" s="60">
        <f t="shared" si="11"/>
        <v>1224.8300000000002</v>
      </c>
      <c r="AD29" s="20">
        <f t="shared" si="19"/>
        <v>85.586611697295794</v>
      </c>
      <c r="AF29" s="5" t="s">
        <v>87</v>
      </c>
      <c r="AG29" s="5" t="s">
        <v>139</v>
      </c>
      <c r="AH29" s="60">
        <v>1629</v>
      </c>
      <c r="AI29" s="60">
        <f t="shared" si="12"/>
        <v>928.53</v>
      </c>
      <c r="AJ29" s="20">
        <f t="shared" si="20"/>
        <v>64.882258402627343</v>
      </c>
      <c r="AL29" s="5" t="s">
        <v>87</v>
      </c>
      <c r="AM29" s="5" t="s">
        <v>386</v>
      </c>
      <c r="AN29" s="62" t="s">
        <v>328</v>
      </c>
      <c r="AO29" s="60" t="s">
        <v>328</v>
      </c>
      <c r="AP29" s="20" t="s">
        <v>328</v>
      </c>
    </row>
    <row r="30" spans="1:42" x14ac:dyDescent="0.35">
      <c r="A30" s="5" t="s">
        <v>12</v>
      </c>
      <c r="B30" s="62" t="s">
        <v>88</v>
      </c>
      <c r="C30" s="5" t="s">
        <v>312</v>
      </c>
      <c r="D30" s="21">
        <v>2799</v>
      </c>
      <c r="E30" s="6">
        <f t="shared" si="2"/>
        <v>1539.45</v>
      </c>
      <c r="F30" s="20">
        <v>100</v>
      </c>
      <c r="G30" s="5" t="s">
        <v>325</v>
      </c>
      <c r="H30" s="62">
        <v>2491</v>
      </c>
      <c r="I30" s="6">
        <f t="shared" si="3"/>
        <v>1352.6129999999998</v>
      </c>
      <c r="J30" s="20">
        <f t="shared" si="4"/>
        <v>87.863392770145168</v>
      </c>
      <c r="K30" s="5" t="s">
        <v>185</v>
      </c>
      <c r="L30" s="60">
        <v>2738</v>
      </c>
      <c r="M30" s="6">
        <f t="shared" si="5"/>
        <v>1533.2800000000002</v>
      </c>
      <c r="N30" s="20">
        <f t="shared" si="6"/>
        <v>99.599207509175372</v>
      </c>
      <c r="O30" s="5" t="s">
        <v>218</v>
      </c>
      <c r="P30" s="60">
        <v>2536</v>
      </c>
      <c r="Q30" s="6">
        <f t="shared" si="7"/>
        <v>1255.32</v>
      </c>
      <c r="R30" s="20">
        <f t="shared" si="8"/>
        <v>81.543408360128609</v>
      </c>
      <c r="S30" s="20"/>
      <c r="T30" s="5" t="s">
        <v>245</v>
      </c>
      <c r="U30" s="5" t="s">
        <v>220</v>
      </c>
      <c r="V30" s="62">
        <v>2433</v>
      </c>
      <c r="W30" s="6">
        <f t="shared" si="16"/>
        <v>1411.1399999999999</v>
      </c>
      <c r="X30" s="20">
        <f t="shared" si="10"/>
        <v>91.665205105719579</v>
      </c>
      <c r="Z30" s="5" t="s">
        <v>269</v>
      </c>
      <c r="AA30" s="5"/>
      <c r="AB30" s="62">
        <v>2563</v>
      </c>
      <c r="AC30" s="60">
        <f t="shared" si="11"/>
        <v>1358.39</v>
      </c>
      <c r="AD30" s="20">
        <f t="shared" si="19"/>
        <v>88.238656663093963</v>
      </c>
      <c r="AF30" s="5" t="s">
        <v>88</v>
      </c>
      <c r="AG30" s="5" t="s">
        <v>139</v>
      </c>
      <c r="AH30" s="60">
        <v>1719</v>
      </c>
      <c r="AI30" s="60">
        <f t="shared" si="12"/>
        <v>979.83</v>
      </c>
      <c r="AJ30" s="20">
        <f t="shared" si="20"/>
        <v>63.648056123940364</v>
      </c>
      <c r="AL30" s="5" t="s">
        <v>88</v>
      </c>
      <c r="AM30" s="5" t="s">
        <v>387</v>
      </c>
      <c r="AN30" s="62" t="s">
        <v>328</v>
      </c>
      <c r="AO30" s="60" t="s">
        <v>328</v>
      </c>
      <c r="AP30" s="20" t="s">
        <v>328</v>
      </c>
    </row>
    <row r="31" spans="1:42" x14ac:dyDescent="0.35">
      <c r="A31" s="5" t="s">
        <v>12</v>
      </c>
      <c r="B31" s="62" t="s">
        <v>81</v>
      </c>
      <c r="C31" s="5" t="s">
        <v>313</v>
      </c>
      <c r="D31" s="21">
        <v>3250</v>
      </c>
      <c r="E31" s="6">
        <f t="shared" si="2"/>
        <v>1787.5000000000002</v>
      </c>
      <c r="F31" s="20">
        <v>100</v>
      </c>
      <c r="G31" s="5" t="s">
        <v>326</v>
      </c>
      <c r="H31" s="62">
        <v>2829</v>
      </c>
      <c r="I31" s="6">
        <f t="shared" si="3"/>
        <v>1536.1469999999997</v>
      </c>
      <c r="J31" s="20">
        <f t="shared" si="4"/>
        <v>85.938293706293692</v>
      </c>
      <c r="K31" s="5" t="s">
        <v>185</v>
      </c>
      <c r="L31" s="60">
        <v>3183</v>
      </c>
      <c r="M31" s="6">
        <f t="shared" si="5"/>
        <v>1782.4800000000002</v>
      </c>
      <c r="N31" s="20">
        <f t="shared" si="6"/>
        <v>99.71916083916085</v>
      </c>
      <c r="O31" s="5" t="s">
        <v>163</v>
      </c>
      <c r="P31" s="60">
        <v>2773</v>
      </c>
      <c r="Q31" s="6">
        <f t="shared" si="7"/>
        <v>1372.635</v>
      </c>
      <c r="R31" s="20">
        <f t="shared" si="8"/>
        <v>76.790769230769214</v>
      </c>
      <c r="S31" s="20"/>
      <c r="T31" s="5" t="s">
        <v>246</v>
      </c>
      <c r="U31" s="5" t="s">
        <v>330</v>
      </c>
      <c r="V31" s="62">
        <v>2872</v>
      </c>
      <c r="W31" s="6">
        <f t="shared" si="16"/>
        <v>1665.76</v>
      </c>
      <c r="X31" s="20">
        <f t="shared" si="10"/>
        <v>93.189370629370615</v>
      </c>
      <c r="Z31" s="5" t="s">
        <v>270</v>
      </c>
      <c r="AA31" s="5"/>
      <c r="AB31" s="62">
        <v>3205</v>
      </c>
      <c r="AC31" s="60">
        <f t="shared" si="11"/>
        <v>1698.65</v>
      </c>
      <c r="AD31" s="20">
        <f t="shared" si="19"/>
        <v>95.029370629370618</v>
      </c>
      <c r="AF31" s="5" t="s">
        <v>81</v>
      </c>
      <c r="AG31" s="5" t="s">
        <v>139</v>
      </c>
      <c r="AH31" s="60">
        <v>2098</v>
      </c>
      <c r="AI31" s="60">
        <f t="shared" si="12"/>
        <v>1195.8600000000001</v>
      </c>
      <c r="AJ31" s="20">
        <f t="shared" si="20"/>
        <v>66.901258741258744</v>
      </c>
      <c r="AL31" s="5" t="s">
        <v>81</v>
      </c>
      <c r="AM31" s="5" t="s">
        <v>388</v>
      </c>
      <c r="AN31" s="62" t="s">
        <v>328</v>
      </c>
      <c r="AO31" s="60" t="s">
        <v>328</v>
      </c>
      <c r="AP31" s="20" t="s">
        <v>328</v>
      </c>
    </row>
    <row r="32" spans="1:42" x14ac:dyDescent="0.35">
      <c r="A32" s="5"/>
      <c r="B32" s="62"/>
      <c r="C32" s="5"/>
      <c r="D32" s="21"/>
      <c r="E32" s="6"/>
      <c r="F32" s="20"/>
      <c r="G32" s="5"/>
      <c r="H32" s="62"/>
      <c r="I32" s="6"/>
      <c r="J32" s="20"/>
      <c r="K32" s="5"/>
      <c r="L32" s="60"/>
      <c r="M32" s="6"/>
      <c r="N32" s="20"/>
      <c r="O32" s="5"/>
      <c r="P32" s="60"/>
      <c r="Q32" s="6"/>
      <c r="R32" s="20"/>
      <c r="S32" s="20"/>
      <c r="T32" s="5" t="s">
        <v>232</v>
      </c>
      <c r="U32" s="5"/>
      <c r="V32" s="62"/>
      <c r="W32" s="6"/>
      <c r="X32" s="20"/>
      <c r="Z32" s="5"/>
      <c r="AA32" s="5"/>
      <c r="AB32" s="62"/>
      <c r="AC32" s="60"/>
      <c r="AD32" s="20"/>
      <c r="AF32" s="5"/>
      <c r="AG32" s="5"/>
      <c r="AH32" s="60"/>
      <c r="AI32" s="60"/>
      <c r="AJ32" s="20"/>
      <c r="AL32" s="5"/>
      <c r="AM32" s="5"/>
      <c r="AN32" s="62"/>
      <c r="AO32" s="60"/>
      <c r="AP32" s="20"/>
    </row>
    <row r="33" spans="1:42" x14ac:dyDescent="0.35">
      <c r="A33" s="5" t="s">
        <v>53</v>
      </c>
      <c r="B33" s="62" t="s">
        <v>89</v>
      </c>
      <c r="C33" s="5" t="s">
        <v>154</v>
      </c>
      <c r="D33" s="21">
        <v>2012</v>
      </c>
      <c r="E33" s="6">
        <f t="shared" si="2"/>
        <v>1106.6000000000001</v>
      </c>
      <c r="F33" s="20">
        <v>100</v>
      </c>
      <c r="G33" s="5" t="s">
        <v>213</v>
      </c>
      <c r="H33" s="62">
        <v>2023</v>
      </c>
      <c r="I33" s="6">
        <f t="shared" si="3"/>
        <v>1098.4889999999998</v>
      </c>
      <c r="J33" s="20">
        <f t="shared" si="4"/>
        <v>99.267034158684226</v>
      </c>
      <c r="K33" s="5" t="s">
        <v>186</v>
      </c>
      <c r="L33" s="60">
        <v>2028</v>
      </c>
      <c r="M33" s="6">
        <f t="shared" si="5"/>
        <v>1135.68</v>
      </c>
      <c r="N33" s="20">
        <f t="shared" si="6"/>
        <v>102.62786914874388</v>
      </c>
      <c r="O33" s="5" t="s">
        <v>392</v>
      </c>
      <c r="P33" s="60">
        <v>2046</v>
      </c>
      <c r="Q33" s="6">
        <f t="shared" si="7"/>
        <v>1012.77</v>
      </c>
      <c r="R33" s="20">
        <f t="shared" si="8"/>
        <v>91.520874751491036</v>
      </c>
      <c r="S33" s="20"/>
      <c r="T33" s="5" t="s">
        <v>247</v>
      </c>
      <c r="U33" s="5" t="s">
        <v>331</v>
      </c>
      <c r="V33" s="62">
        <v>1768</v>
      </c>
      <c r="W33" s="6">
        <f t="shared" si="16"/>
        <v>1025.44</v>
      </c>
      <c r="X33" s="20">
        <f t="shared" si="10"/>
        <v>92.665823242363984</v>
      </c>
      <c r="Z33" s="5" t="s">
        <v>124</v>
      </c>
      <c r="AA33" s="5"/>
      <c r="AB33" s="62">
        <v>2351</v>
      </c>
      <c r="AC33" s="60">
        <f t="shared" si="11"/>
        <v>1246.03</v>
      </c>
      <c r="AD33" s="20">
        <f>AC33*100/E33</f>
        <v>112.59985541297667</v>
      </c>
      <c r="AF33" s="5" t="s">
        <v>89</v>
      </c>
      <c r="AG33" s="5" t="s">
        <v>156</v>
      </c>
      <c r="AH33" s="62">
        <v>1472</v>
      </c>
      <c r="AI33" s="60">
        <f t="shared" si="12"/>
        <v>839.04</v>
      </c>
      <c r="AJ33" s="20">
        <f>AI33*100/E33</f>
        <v>75.821435026206387</v>
      </c>
      <c r="AL33" s="5" t="s">
        <v>89</v>
      </c>
      <c r="AM33" s="5"/>
      <c r="AN33" s="62" t="s">
        <v>328</v>
      </c>
      <c r="AO33" s="60" t="s">
        <v>328</v>
      </c>
      <c r="AP33" s="20" t="s">
        <v>328</v>
      </c>
    </row>
    <row r="34" spans="1:42" x14ac:dyDescent="0.35">
      <c r="A34" s="5" t="s">
        <v>53</v>
      </c>
      <c r="B34" s="62" t="s">
        <v>90</v>
      </c>
      <c r="C34" s="5" t="s">
        <v>155</v>
      </c>
      <c r="D34" s="21">
        <v>2529</v>
      </c>
      <c r="E34" s="6">
        <f t="shared" si="2"/>
        <v>1390.95</v>
      </c>
      <c r="F34" s="20">
        <v>100</v>
      </c>
      <c r="G34" s="5" t="s">
        <v>214</v>
      </c>
      <c r="H34" s="62">
        <v>2524</v>
      </c>
      <c r="I34" s="6">
        <f t="shared" si="3"/>
        <v>1370.5319999999999</v>
      </c>
      <c r="J34" s="20">
        <f t="shared" si="4"/>
        <v>98.532082389733617</v>
      </c>
      <c r="K34" s="5" t="s">
        <v>186</v>
      </c>
      <c r="L34" s="60">
        <v>2424</v>
      </c>
      <c r="M34" s="6">
        <f t="shared" si="5"/>
        <v>1357.44</v>
      </c>
      <c r="N34" s="20">
        <f t="shared" si="6"/>
        <v>97.590855170926346</v>
      </c>
      <c r="O34" s="5" t="s">
        <v>393</v>
      </c>
      <c r="P34" s="60">
        <v>2409</v>
      </c>
      <c r="Q34" s="6">
        <f t="shared" si="7"/>
        <v>1192.4549999999999</v>
      </c>
      <c r="R34" s="20">
        <f t="shared" si="8"/>
        <v>85.729537366548044</v>
      </c>
      <c r="S34" s="20"/>
      <c r="T34" s="5" t="s">
        <v>248</v>
      </c>
      <c r="U34" s="5" t="s">
        <v>331</v>
      </c>
      <c r="V34" s="62">
        <v>2127</v>
      </c>
      <c r="W34" s="6">
        <f t="shared" si="16"/>
        <v>1233.6600000000001</v>
      </c>
      <c r="X34" s="20">
        <f t="shared" si="10"/>
        <v>88.691901218591624</v>
      </c>
      <c r="Z34" s="5" t="s">
        <v>125</v>
      </c>
      <c r="AA34" s="5"/>
      <c r="AB34" s="62">
        <v>3019</v>
      </c>
      <c r="AC34" s="60">
        <f t="shared" si="11"/>
        <v>1600.0700000000002</v>
      </c>
      <c r="AD34" s="20">
        <f>AC34*100/E34</f>
        <v>115.03432905568138</v>
      </c>
      <c r="AF34" s="5" t="s">
        <v>90</v>
      </c>
      <c r="AG34" s="5" t="s">
        <v>156</v>
      </c>
      <c r="AH34" s="62">
        <v>1870</v>
      </c>
      <c r="AI34" s="60">
        <f t="shared" si="12"/>
        <v>1065.9000000000001</v>
      </c>
      <c r="AJ34" s="20">
        <f>AI34*100/E34</f>
        <v>76.631079478054573</v>
      </c>
      <c r="AL34" s="5" t="s">
        <v>90</v>
      </c>
      <c r="AM34" s="5"/>
      <c r="AN34" s="62" t="s">
        <v>328</v>
      </c>
      <c r="AO34" s="60" t="s">
        <v>328</v>
      </c>
      <c r="AP34" s="20" t="s">
        <v>328</v>
      </c>
    </row>
    <row r="35" spans="1:42" x14ac:dyDescent="0.35">
      <c r="A35" s="5"/>
      <c r="B35" s="62"/>
      <c r="C35" s="5"/>
      <c r="D35" s="21"/>
      <c r="E35" s="6"/>
      <c r="F35" s="20"/>
      <c r="G35" s="5"/>
      <c r="H35" s="62"/>
      <c r="I35" s="6"/>
      <c r="J35" s="20"/>
      <c r="K35" s="5"/>
      <c r="L35" s="60"/>
      <c r="M35" s="6"/>
      <c r="N35" s="20"/>
      <c r="O35" s="5"/>
      <c r="P35" s="60"/>
      <c r="Q35" s="6"/>
      <c r="R35" s="20"/>
      <c r="S35" s="20"/>
      <c r="T35" s="5" t="s">
        <v>232</v>
      </c>
      <c r="U35" s="5"/>
      <c r="V35" s="62"/>
      <c r="W35" s="6"/>
      <c r="X35" s="20"/>
      <c r="Z35" s="5"/>
      <c r="AA35" s="5"/>
      <c r="AB35" s="62"/>
      <c r="AC35" s="60"/>
      <c r="AD35" s="20"/>
      <c r="AF35" s="5"/>
      <c r="AG35" s="5"/>
      <c r="AH35" s="62"/>
      <c r="AI35" s="60"/>
      <c r="AJ35" s="20"/>
      <c r="AL35" s="5"/>
      <c r="AM35" s="5"/>
      <c r="AN35" s="62"/>
      <c r="AO35" s="60"/>
      <c r="AP35" s="20"/>
    </row>
    <row r="36" spans="1:42" x14ac:dyDescent="0.35">
      <c r="A36" s="5" t="s">
        <v>54</v>
      </c>
      <c r="B36" s="62" t="s">
        <v>89</v>
      </c>
      <c r="C36" s="5" t="s">
        <v>104</v>
      </c>
      <c r="D36" s="21">
        <v>1977</v>
      </c>
      <c r="E36" s="6">
        <f t="shared" si="2"/>
        <v>1087.3500000000001</v>
      </c>
      <c r="F36" s="20">
        <v>100</v>
      </c>
      <c r="G36" s="5" t="s">
        <v>60</v>
      </c>
      <c r="H36" s="181">
        <v>2102</v>
      </c>
      <c r="I36" s="6">
        <f t="shared" si="3"/>
        <v>1141.3859999999997</v>
      </c>
      <c r="J36" s="20">
        <f t="shared" si="4"/>
        <v>104.96951303628083</v>
      </c>
      <c r="K36" s="5" t="s">
        <v>187</v>
      </c>
      <c r="L36" s="60">
        <v>2086</v>
      </c>
      <c r="M36" s="6">
        <f t="shared" si="5"/>
        <v>1168.1600000000001</v>
      </c>
      <c r="N36" s="20">
        <f t="shared" si="6"/>
        <v>107.43182967765669</v>
      </c>
      <c r="O36" s="5" t="s">
        <v>394</v>
      </c>
      <c r="P36" s="60">
        <v>1913</v>
      </c>
      <c r="Q36" s="6">
        <f t="shared" si="7"/>
        <v>946.93499999999995</v>
      </c>
      <c r="R36" s="20">
        <f t="shared" si="8"/>
        <v>87.086494688922599</v>
      </c>
      <c r="S36" s="20"/>
      <c r="T36" s="5" t="s">
        <v>249</v>
      </c>
      <c r="U36" s="5" t="s">
        <v>332</v>
      </c>
      <c r="V36" s="182">
        <f>D36*0.9</f>
        <v>1779.3</v>
      </c>
      <c r="W36" s="182">
        <f>E36*0.9</f>
        <v>978.61500000000012</v>
      </c>
      <c r="X36" s="20">
        <f t="shared" ref="X36" si="23">W36*100/E36</f>
        <v>90</v>
      </c>
      <c r="Z36" s="5" t="s">
        <v>271</v>
      </c>
      <c r="AA36" s="5"/>
      <c r="AB36" s="155">
        <v>2268</v>
      </c>
      <c r="AC36" s="60">
        <f t="shared" si="11"/>
        <v>1202.04</v>
      </c>
      <c r="AD36" s="20">
        <f>AC36*100/E36</f>
        <v>110.54766174644777</v>
      </c>
      <c r="AF36" s="5" t="s">
        <v>89</v>
      </c>
      <c r="AG36" s="5" t="s">
        <v>157</v>
      </c>
      <c r="AH36" s="62">
        <v>1611</v>
      </c>
      <c r="AI36" s="60">
        <f t="shared" si="12"/>
        <v>918.27</v>
      </c>
      <c r="AJ36" s="20">
        <f>AI36*100/E36</f>
        <v>84.450269002621042</v>
      </c>
      <c r="AL36" s="5" t="s">
        <v>89</v>
      </c>
      <c r="AM36" s="5"/>
      <c r="AN36" s="62" t="s">
        <v>328</v>
      </c>
      <c r="AO36" s="60" t="s">
        <v>328</v>
      </c>
      <c r="AP36" s="20" t="s">
        <v>328</v>
      </c>
    </row>
    <row r="37" spans="1:42" x14ac:dyDescent="0.35">
      <c r="A37" s="5" t="s">
        <v>54</v>
      </c>
      <c r="B37" s="62" t="s">
        <v>90</v>
      </c>
      <c r="C37" s="5" t="s">
        <v>105</v>
      </c>
      <c r="D37" s="21">
        <v>2347</v>
      </c>
      <c r="E37" s="6">
        <f t="shared" si="2"/>
        <v>1290.8500000000001</v>
      </c>
      <c r="F37" s="20">
        <f t="shared" ref="F37" si="24">E37*100/M37</f>
        <v>94.162144024276387</v>
      </c>
      <c r="G37" s="5" t="s">
        <v>61</v>
      </c>
      <c r="H37" s="62">
        <v>2293</v>
      </c>
      <c r="I37" s="6">
        <f t="shared" si="3"/>
        <v>1245.0989999999999</v>
      </c>
      <c r="J37" s="20">
        <f t="shared" si="4"/>
        <v>96.455746213735125</v>
      </c>
      <c r="K37" s="5" t="s">
        <v>187</v>
      </c>
      <c r="L37" s="60">
        <v>2448</v>
      </c>
      <c r="M37" s="6">
        <f t="shared" si="5"/>
        <v>1370.88</v>
      </c>
      <c r="N37" s="20">
        <f t="shared" si="6"/>
        <v>106.19979083549597</v>
      </c>
      <c r="O37" s="5" t="s">
        <v>395</v>
      </c>
      <c r="P37" s="60">
        <v>2441</v>
      </c>
      <c r="Q37" s="6">
        <f t="shared" si="7"/>
        <v>1208.2950000000001</v>
      </c>
      <c r="R37" s="20">
        <f t="shared" si="8"/>
        <v>93.604601619088186</v>
      </c>
      <c r="S37" s="20"/>
      <c r="T37" s="5" t="s">
        <v>250</v>
      </c>
      <c r="U37" s="5" t="s">
        <v>221</v>
      </c>
      <c r="V37" s="183">
        <f>D37*0.9</f>
        <v>2112.3000000000002</v>
      </c>
      <c r="W37" s="6">
        <f>E37*0.9</f>
        <v>1161.7650000000001</v>
      </c>
      <c r="X37" s="20">
        <f t="shared" si="10"/>
        <v>90</v>
      </c>
      <c r="Z37" s="5" t="s">
        <v>272</v>
      </c>
      <c r="AA37" s="5"/>
      <c r="AB37" s="62">
        <v>2584</v>
      </c>
      <c r="AC37" s="60">
        <f t="shared" si="11"/>
        <v>1369.52</v>
      </c>
      <c r="AD37" s="20">
        <f>AC37*100/E37</f>
        <v>106.0944339001433</v>
      </c>
      <c r="AF37" s="5" t="s">
        <v>90</v>
      </c>
      <c r="AG37" s="5" t="s">
        <v>157</v>
      </c>
      <c r="AH37" s="62">
        <v>1870</v>
      </c>
      <c r="AI37" s="60">
        <f t="shared" si="12"/>
        <v>1065.9000000000001</v>
      </c>
      <c r="AJ37" s="20">
        <f>AI37*100/E37</f>
        <v>82.573498082658716</v>
      </c>
      <c r="AL37" s="5" t="s">
        <v>90</v>
      </c>
      <c r="AM37" s="5"/>
      <c r="AN37" s="62" t="s">
        <v>328</v>
      </c>
      <c r="AO37" s="60" t="s">
        <v>328</v>
      </c>
      <c r="AP37" s="20" t="s">
        <v>328</v>
      </c>
    </row>
    <row r="38" spans="1:42" s="8" customFormat="1" x14ac:dyDescent="0.35">
      <c r="D38" s="63">
        <f>SUM(D6:D37)</f>
        <v>72600</v>
      </c>
      <c r="E38" s="63">
        <f>SUM(E6:E37)</f>
        <v>39929.999999999993</v>
      </c>
      <c r="H38" s="63">
        <f>SUM(H6:H37)</f>
        <v>66126</v>
      </c>
      <c r="I38" s="63">
        <f>SUM(I6:I37)</f>
        <v>35906.418000000005</v>
      </c>
      <c r="L38" s="63">
        <f>SUM(L6:L37)</f>
        <v>71808</v>
      </c>
      <c r="M38" s="63">
        <f>SUM(M6:M37)</f>
        <v>40212.48000000001</v>
      </c>
      <c r="P38" s="63">
        <f>SUM(P6:P37)</f>
        <v>64387</v>
      </c>
      <c r="Q38" s="63">
        <f>SUM(Q6:Q37)</f>
        <v>31871.565000000002</v>
      </c>
      <c r="V38" s="63">
        <f>SUM(V6:V37)</f>
        <v>64972.86</v>
      </c>
      <c r="W38" s="63">
        <f>SUM(W6:W37)</f>
        <v>37043.942999999999</v>
      </c>
      <c r="AB38" s="109">
        <f>SUM(AB6:AB37)</f>
        <v>71924</v>
      </c>
      <c r="AC38" s="63">
        <f>SUM(AC6:AC37)</f>
        <v>38119.720000000008</v>
      </c>
      <c r="AH38" s="63">
        <f>SUM(AH6:AH37)</f>
        <v>48413</v>
      </c>
      <c r="AI38" s="63">
        <f>SUM(AI6:AI37)</f>
        <v>27595.410000000007</v>
      </c>
      <c r="AM38" s="8" t="s">
        <v>389</v>
      </c>
      <c r="AN38" s="63">
        <f>SUM(AN6:AN37)</f>
        <v>31558</v>
      </c>
      <c r="AO38" s="63">
        <f>SUM(AO6:AO37)</f>
        <v>7889.5</v>
      </c>
      <c r="AP38" s="8">
        <v>41</v>
      </c>
    </row>
    <row r="39" spans="1:42" x14ac:dyDescent="0.35">
      <c r="AB39" s="8"/>
      <c r="AC39" s="8"/>
      <c r="AD39" s="8"/>
    </row>
    <row r="40" spans="1:42" x14ac:dyDescent="0.35">
      <c r="A40" s="23" t="s">
        <v>24</v>
      </c>
      <c r="B40" s="24" t="s">
        <v>141</v>
      </c>
      <c r="C40" s="24" t="s">
        <v>23</v>
      </c>
      <c r="H40" s="156" t="s">
        <v>274</v>
      </c>
      <c r="P40" s="156" t="s">
        <v>274</v>
      </c>
      <c r="V40" s="156" t="s">
        <v>274</v>
      </c>
      <c r="AB40" s="156" t="s">
        <v>274</v>
      </c>
    </row>
    <row r="41" spans="1:42" x14ac:dyDescent="0.35">
      <c r="A41" s="5" t="s">
        <v>15</v>
      </c>
      <c r="B41" s="21">
        <f>D38</f>
        <v>72600</v>
      </c>
      <c r="C41" s="79">
        <v>100</v>
      </c>
    </row>
    <row r="42" spans="1:42" x14ac:dyDescent="0.35">
      <c r="A42" s="5" t="s">
        <v>16</v>
      </c>
      <c r="B42" s="21">
        <f>H38</f>
        <v>66126</v>
      </c>
      <c r="C42" s="79">
        <f>B42*100/B$41</f>
        <v>91.082644628099175</v>
      </c>
      <c r="E42" s="151"/>
    </row>
    <row r="43" spans="1:42" x14ac:dyDescent="0.35">
      <c r="A43" s="5" t="s">
        <v>17</v>
      </c>
      <c r="B43" s="21">
        <f>L38</f>
        <v>71808</v>
      </c>
      <c r="C43" s="79">
        <f t="shared" ref="C43:C48" si="25">B43*100/B$41</f>
        <v>98.909090909090907</v>
      </c>
    </row>
    <row r="44" spans="1:42" x14ac:dyDescent="0.35">
      <c r="A44" s="5" t="s">
        <v>18</v>
      </c>
      <c r="B44" s="21">
        <f>P38</f>
        <v>64387</v>
      </c>
      <c r="C44" s="79">
        <f t="shared" si="25"/>
        <v>88.687327823691462</v>
      </c>
    </row>
    <row r="45" spans="1:42" x14ac:dyDescent="0.35">
      <c r="A45" s="5" t="s">
        <v>21</v>
      </c>
      <c r="B45" s="21">
        <f>V38</f>
        <v>64972.86</v>
      </c>
      <c r="C45" s="79">
        <f t="shared" si="25"/>
        <v>89.494297520661164</v>
      </c>
    </row>
    <row r="46" spans="1:42" x14ac:dyDescent="0.35">
      <c r="A46" s="5" t="s">
        <v>94</v>
      </c>
      <c r="B46" s="21">
        <f>AB38</f>
        <v>71924</v>
      </c>
      <c r="C46" s="79">
        <f t="shared" si="25"/>
        <v>99.068870523415981</v>
      </c>
      <c r="D46" s="8"/>
    </row>
    <row r="47" spans="1:42" x14ac:dyDescent="0.35">
      <c r="A47" s="5" t="s">
        <v>140</v>
      </c>
      <c r="B47" s="21">
        <f>AH38</f>
        <v>48413</v>
      </c>
      <c r="C47" s="79">
        <f t="shared" si="25"/>
        <v>66.684573002754817</v>
      </c>
      <c r="D47" s="8"/>
    </row>
    <row r="48" spans="1:42" x14ac:dyDescent="0.35">
      <c r="A48" s="5" t="s">
        <v>354</v>
      </c>
      <c r="B48" s="21">
        <f>AN38</f>
        <v>31558</v>
      </c>
      <c r="C48" s="79">
        <f t="shared" si="25"/>
        <v>43.468319559228647</v>
      </c>
      <c r="D48" s="8"/>
    </row>
    <row r="49" spans="1:4" x14ac:dyDescent="0.35">
      <c r="C49" s="8"/>
    </row>
    <row r="50" spans="1:4" x14ac:dyDescent="0.35">
      <c r="A50" s="23" t="s">
        <v>24</v>
      </c>
      <c r="B50" s="24" t="s">
        <v>142</v>
      </c>
      <c r="C50" s="24" t="s">
        <v>23</v>
      </c>
    </row>
    <row r="51" spans="1:4" x14ac:dyDescent="0.35">
      <c r="A51" s="5" t="s">
        <v>15</v>
      </c>
      <c r="B51" s="21">
        <f>E38</f>
        <v>39929.999999999993</v>
      </c>
      <c r="C51" s="79">
        <v>100</v>
      </c>
    </row>
    <row r="52" spans="1:4" x14ac:dyDescent="0.35">
      <c r="A52" s="5" t="s">
        <v>16</v>
      </c>
      <c r="B52" s="21">
        <f>I38</f>
        <v>35906.418000000005</v>
      </c>
      <c r="C52" s="79">
        <f>B52*100/B$51</f>
        <v>89.923410969196127</v>
      </c>
    </row>
    <row r="53" spans="1:4" x14ac:dyDescent="0.35">
      <c r="A53" s="5" t="s">
        <v>17</v>
      </c>
      <c r="B53" s="21">
        <f>M38</f>
        <v>40212.48000000001</v>
      </c>
      <c r="C53" s="79">
        <f t="shared" ref="C53:C57" si="26">B53*100/B$51</f>
        <v>100.70743801652897</v>
      </c>
    </row>
    <row r="54" spans="1:4" x14ac:dyDescent="0.35">
      <c r="A54" s="5" t="s">
        <v>18</v>
      </c>
      <c r="B54" s="21">
        <f>Q38</f>
        <v>31871.565000000002</v>
      </c>
      <c r="C54" s="79">
        <f t="shared" si="26"/>
        <v>79.818595041322325</v>
      </c>
    </row>
    <row r="55" spans="1:4" x14ac:dyDescent="0.35">
      <c r="A55" s="5" t="s">
        <v>21</v>
      </c>
      <c r="B55" s="21">
        <f>W38</f>
        <v>37043.942999999999</v>
      </c>
      <c r="C55" s="79">
        <f t="shared" si="26"/>
        <v>92.772208865514656</v>
      </c>
    </row>
    <row r="56" spans="1:4" x14ac:dyDescent="0.35">
      <c r="A56" s="5" t="s">
        <v>94</v>
      </c>
      <c r="B56" s="21">
        <f>AC38</f>
        <v>38119.720000000008</v>
      </c>
      <c r="C56" s="79">
        <f t="shared" si="26"/>
        <v>95.466366140746345</v>
      </c>
    </row>
    <row r="57" spans="1:4" x14ac:dyDescent="0.35">
      <c r="A57" s="5" t="s">
        <v>140</v>
      </c>
      <c r="B57" s="21">
        <f>AI38</f>
        <v>27595.410000000007</v>
      </c>
      <c r="C57" s="79">
        <f t="shared" si="26"/>
        <v>69.109466566491392</v>
      </c>
    </row>
    <row r="58" spans="1:4" x14ac:dyDescent="0.35">
      <c r="A58" s="5" t="s">
        <v>354</v>
      </c>
      <c r="B58" s="184">
        <f>AO38</f>
        <v>7889.5</v>
      </c>
      <c r="C58" s="185">
        <v>41</v>
      </c>
      <c r="D58" t="s">
        <v>390</v>
      </c>
    </row>
  </sheetData>
  <sortState xmlns:xlrd2="http://schemas.microsoft.com/office/spreadsheetml/2017/richdata2" ref="A6:X29">
    <sortCondition ref="A6:A29"/>
  </sortState>
  <mergeCells count="8">
    <mergeCell ref="AL4:AP4"/>
    <mergeCell ref="AF4:AJ4"/>
    <mergeCell ref="Z4:AD4"/>
    <mergeCell ref="C4:F4"/>
    <mergeCell ref="U4:X4"/>
    <mergeCell ref="O4:R4"/>
    <mergeCell ref="G4:J4"/>
    <mergeCell ref="K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3</vt:i4>
      </vt:variant>
    </vt:vector>
  </HeadingPairs>
  <TitlesOfParts>
    <vt:vector size="7" baseType="lpstr">
      <vt:lpstr>Sammenligning VINTER</vt:lpstr>
      <vt:lpstr>Preordretilbud vinter 25</vt:lpstr>
      <vt:lpstr>BONUSTABELLER</vt:lpstr>
      <vt:lpstr>Datablad VINTER- IKKE RØR</vt:lpstr>
      <vt:lpstr>BONUSTABELLER!Utskriftsområde</vt:lpstr>
      <vt:lpstr>'Preordretilbud vinter 25'!Utskriftsområde</vt:lpstr>
      <vt:lpstr>'Sammenligning VINTER'!Utskriftsområde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 Holmberg</cp:lastModifiedBy>
  <cp:lastPrinted>2025-05-19T07:45:46Z</cp:lastPrinted>
  <dcterms:created xsi:type="dcterms:W3CDTF">2013-09-02T10:56:17Z</dcterms:created>
  <dcterms:modified xsi:type="dcterms:W3CDTF">2025-05-19T09:06:46Z</dcterms:modified>
</cp:coreProperties>
</file>